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2.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2.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6.xml" ContentType="application/vnd.openxmlformats-officedocument.drawing+xml"/>
  <Override PartName="/xl/ctrlProps/ctrlProp2.xml" ContentType="application/vnd.ms-excel.controlproperties+xml"/>
  <Override PartName="/xl/drawings/drawing17.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5.xml" ContentType="application/vnd.openxmlformats-officedocument.spreadsheetml.comments+xml"/>
  <Override PartName="/xl/drawings/drawing18.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alison.meagher\Box Sync\MACH UG - MBA Development FY 2017\Digital Conversion\Simulation Conversion\"/>
    </mc:Choice>
  </mc:AlternateContent>
  <bookViews>
    <workbookView xWindow="1440" yWindow="0" windowWidth="21600" windowHeight="9684" firstSheet="32" activeTab="38"/>
  </bookViews>
  <sheets>
    <sheet name="Balancing" sheetId="97" r:id="rId1"/>
    <sheet name="Controls" sheetId="1" r:id="rId2"/>
    <sheet name="ToolSetup" sheetId="103" r:id="rId3"/>
    <sheet name="DataValidation" sheetId="104" r:id="rId4"/>
    <sheet name="TestAuto" sheetId="105" r:id="rId5"/>
    <sheet name="ImportExportCSV" sheetId="98" r:id="rId6"/>
    <sheet name="obal_csv_export" sheetId="99" state="hidden" r:id="rId7"/>
    <sheet name="PopUp" sheetId="25" r:id="rId8"/>
    <sheet name="ClearAdj" sheetId="26" r:id="rId9"/>
    <sheet name="Navigation" sheetId="42" r:id="rId10"/>
    <sheet name="btnPlusMinus" sheetId="32" r:id="rId11"/>
    <sheet name="btnLevel" sheetId="38" r:id="rId12"/>
    <sheet name="InfoButton" sheetId="95" r:id="rId13"/>
    <sheet name="DecErrorMessage" sheetId="6" r:id="rId14"/>
    <sheet name="Dashboard" sheetId="11" r:id="rId15"/>
    <sheet name="FinDefControls" sheetId="44" r:id="rId16"/>
    <sheet name="Popup_Wobbler" sheetId="80" r:id="rId17"/>
    <sheet name="tlInputIntro" sheetId="2" r:id="rId18"/>
    <sheet name="tlInputEG" sheetId="40" r:id="rId19"/>
    <sheet name="tlInputOps" sheetId="36" r:id="rId20"/>
    <sheet name="tlInputCommercial" sheetId="37" r:id="rId21"/>
    <sheet name="tlInputConsumer" sheetId="39" r:id="rId22"/>
    <sheet name="tlInputPNL" sheetId="85" r:id="rId23"/>
    <sheet name="Obal" sheetId="7" r:id="rId24"/>
    <sheet name="Dec" sheetId="4" r:id="rId25"/>
    <sheet name="calcFTEsExpenses" sheetId="57" r:id="rId26"/>
    <sheet name="calcEndingLevels" sheetId="59" r:id="rId27"/>
    <sheet name="calcSubscriptions" sheetId="45" r:id="rId28"/>
    <sheet name="calcService" sheetId="69" r:id="rId29"/>
    <sheet name="calcUnits" sheetId="68" r:id="rId30"/>
    <sheet name="calcConsumption" sheetId="72" r:id="rId31"/>
    <sheet name="calcRenRate" sheetId="102" r:id="rId32"/>
    <sheet name="calcCustSuccess" sheetId="73" r:id="rId33"/>
    <sheet name="calcDataCenter" sheetId="64" r:id="rId34"/>
    <sheet name="calcCollabIntReadiness" sheetId="76" r:id="rId35"/>
    <sheet name="calcCLV" sheetId="77" r:id="rId36"/>
    <sheet name="calcExecution" sheetId="58" r:id="rId37"/>
    <sheet name="calcCPA" sheetId="54" r:id="rId38"/>
    <sheet name="calcWHI" sheetId="55" r:id="rId39"/>
    <sheet name="calcWobbler" sheetId="81" r:id="rId40"/>
    <sheet name="FinPNL" sheetId="46" r:id="rId41"/>
    <sheet name="adj" sheetId="83" r:id="rId42"/>
    <sheet name="param" sheetId="23" r:id="rId43"/>
    <sheet name="Cbal" sheetId="8" r:id="rId44"/>
    <sheet name="mmMarketSetup" sheetId="101" r:id="rId45"/>
    <sheet name="mmCompetitorData" sheetId="84" r:id="rId46"/>
    <sheet name="Glossary" sheetId="15" r:id="rId47"/>
    <sheet name="LookupTable" sheetId="89" r:id="rId48"/>
    <sheet name="Data" sheetId="21" r:id="rId49"/>
    <sheet name="Graphs" sheetId="33" r:id="rId50"/>
  </sheets>
  <functionGroups builtInGroupCount="18"/>
  <definedNames>
    <definedName name="_1A">Data!$C$284:$C$285</definedName>
    <definedName name="_Order1" hidden="1">255</definedName>
    <definedName name="_Order2" hidden="1">255</definedName>
    <definedName name="adj_CostCode">adj!$B$17</definedName>
    <definedName name="adj_FTECode">adj!$B$16</definedName>
    <definedName name="adj_IndexTeam">adj!$E$14:$N$14</definedName>
    <definedName name="adjCPAdvocacy">Balancing!$E$132:$N$132</definedName>
    <definedName name="adjR1WHIScore">adj!$E$21:$N$21</definedName>
    <definedName name="adjR2WHIScore">adj!$E$27:$N$27</definedName>
    <definedName name="Azul_Applications">Glossary!$C$64</definedName>
    <definedName name="Azul_Infrastructure">Glossary!$C$62</definedName>
    <definedName name="Azul_Platform">Glossary!$C$63</definedName>
    <definedName name="btnGSMOLevelSelected">btnLevel!$D$14</definedName>
    <definedName name="btnLevelBorder">btnLevel!$D$24</definedName>
    <definedName name="btnLevelCount">btnLevel!$C$97</definedName>
    <definedName name="btnLevelDec0">btnLevel!$L$34</definedName>
    <definedName name="btnLevelDec1">btnLevel!$L$36</definedName>
    <definedName name="btnLevelDec10">btnLevel!$L$54</definedName>
    <definedName name="btnLevelDec11">btnLevel!$L$56</definedName>
    <definedName name="btnLevelDec12">btnLevel!$L$58</definedName>
    <definedName name="btnLevelDec13">btnLevel!$L$60</definedName>
    <definedName name="btnLevelDec14">btnLevel!$L$62</definedName>
    <definedName name="btnLevelDec15">btnLevel!$L$64</definedName>
    <definedName name="btnLevelDec16">btnLevel!$L$66</definedName>
    <definedName name="btnLevelDec17">btnLevel!$L$68</definedName>
    <definedName name="btnLevelDec18">btnLevel!$L$70</definedName>
    <definedName name="btnLevelDec19">btnLevel!$L$72</definedName>
    <definedName name="btnLevelDec2">btnLevel!$L$38</definedName>
    <definedName name="btnLevelDec20">btnLevel!$L$74</definedName>
    <definedName name="btnLevelDec21">btnLevel!$L$76</definedName>
    <definedName name="btnLevelDec23">btnLevel!$L$78</definedName>
    <definedName name="btnLevelDec24">btnLevel!$L$80</definedName>
    <definedName name="btnLevelDec25">btnLevel!$L$82</definedName>
    <definedName name="btnLevelDec26">btnLevel!$L$84</definedName>
    <definedName name="btnLevelDec27">btnLevel!$L$86</definedName>
    <definedName name="btnLevelDec28">btnLevel!$L$88</definedName>
    <definedName name="btnLevelDec29">btnLevel!$L$90</definedName>
    <definedName name="btnLevelDec3">btnLevel!$L$40</definedName>
    <definedName name="btnLevelDec30">btnLevel!$L$92</definedName>
    <definedName name="btnLevelDec4">btnLevel!$L$42</definedName>
    <definedName name="btnLevelDec5">btnLevel!$L$44</definedName>
    <definedName name="btnLevelDec6">btnLevel!$L$46</definedName>
    <definedName name="btnLevelDec7">btnLevel!$L$48</definedName>
    <definedName name="btnLevelDec8">btnLevel!$L$50</definedName>
    <definedName name="btnLevelDec9">btnLevel!$L$52</definedName>
    <definedName name="btnLevelDeselected">btnLevel!$D$22</definedName>
    <definedName name="btnLevelDeselectedText">btnLevel!$D$28</definedName>
    <definedName name="btnLevelLevels0">btnLevel!$F$34</definedName>
    <definedName name="btnLevelLevels1">btnLevel!$F$36</definedName>
    <definedName name="btnLevelLevels10">btnLevel!$F$54</definedName>
    <definedName name="btnLevelLevels11">btnLevel!$F$56</definedName>
    <definedName name="btnLevelLevels12">btnLevel!$F$58</definedName>
    <definedName name="btnLevelLevels13">btnLevel!$F$60</definedName>
    <definedName name="btnLevelLevels14">btnLevel!$F$62</definedName>
    <definedName name="btnLevelLevels15">btnLevel!$F$64</definedName>
    <definedName name="btnLevelLevels16">btnLevel!$F$66</definedName>
    <definedName name="btnLevelLevels17">btnLevel!$F$68</definedName>
    <definedName name="btnLevelLevels18">btnLevel!$F$70</definedName>
    <definedName name="btnLevelLevels19">btnLevel!$F$72</definedName>
    <definedName name="btnLevelLevels2">btnLevel!$F$38</definedName>
    <definedName name="btnLevelLevels20">btnLevel!$F$74</definedName>
    <definedName name="btnLevelLevels21">btnLevel!$F$76</definedName>
    <definedName name="btnLevelLevels23">btnLevel!$F$78</definedName>
    <definedName name="btnLevelLevels24">btnLevel!$F$80</definedName>
    <definedName name="btnLevelLevels25">btnLevel!$F$82</definedName>
    <definedName name="btnLevelLevels26">btnLevel!$F$84</definedName>
    <definedName name="btnLevelLevels27">btnLevel!$F$86</definedName>
    <definedName name="btnLevelLevels28">btnLevel!$F$88</definedName>
    <definedName name="btnLevelLevels29">btnLevel!$F$90</definedName>
    <definedName name="btnLevelLevels3">btnLevel!$F$40</definedName>
    <definedName name="btnLevelLevels30">btnLevel!$F$92</definedName>
    <definedName name="btnLevelLevels4">btnLevel!$F$42</definedName>
    <definedName name="btnLevelLevels5">btnLevel!$F$44</definedName>
    <definedName name="btnLevelLevels6">btnLevel!$F$46</definedName>
    <definedName name="btnLevelLevels7">btnLevel!$F$48</definedName>
    <definedName name="btnLevelLevels8">btnLevel!$F$50</definedName>
    <definedName name="btnLevelLevels9">btnLevel!$F$52</definedName>
    <definedName name="btnLevelSelectedText">btnLevel!$D$26</definedName>
    <definedName name="btnLevelSelectedtlInputCommercial">btnLevel!$D$18</definedName>
    <definedName name="btnLevelSelectedtlInputConsumer">btnLevel!$D$20</definedName>
    <definedName name="btnLevelSelectedtlInputEG">btnLevel!$D$16</definedName>
    <definedName name="btnLevelSelectedtlInputOps">btnLevel!$D$14</definedName>
    <definedName name="btnLevelSheet0">btnLevel!$I$34</definedName>
    <definedName name="btnLevelSheet1">btnLevel!$I$36</definedName>
    <definedName name="btnLevelSheet10">btnLevel!$I$54</definedName>
    <definedName name="btnLevelSheet11">btnLevel!$I$56</definedName>
    <definedName name="btnLevelSheet12">btnLevel!$I$58</definedName>
    <definedName name="btnLevelSheet13">btnLevel!$I$60</definedName>
    <definedName name="btnLevelSheet14">btnLevel!$I$62</definedName>
    <definedName name="btnLevelSheet15">btnLevel!$I$64</definedName>
    <definedName name="btnLevelSheet16">btnLevel!$I$66</definedName>
    <definedName name="btnLevelSheet17">btnLevel!$I$68</definedName>
    <definedName name="btnLevelSheet18">btnLevel!$I$70</definedName>
    <definedName name="btnLevelSheet19">btnLevel!$I$72</definedName>
    <definedName name="btnLevelSheet2">btnLevel!$I$38</definedName>
    <definedName name="btnLevelSheet20">btnLevel!$I$74</definedName>
    <definedName name="btnLevelSheet21">btnLevel!$I$76</definedName>
    <definedName name="btnLevelSheet23">btnLevel!$I$78</definedName>
    <definedName name="btnLevelSheet24">btnLevel!$I$80</definedName>
    <definedName name="btnLevelSheet25">btnLevel!$I$82</definedName>
    <definedName name="btnLevelSheet26">btnLevel!$I$84</definedName>
    <definedName name="btnLevelSheet27">btnLevel!$I$86</definedName>
    <definedName name="btnLevelSheet28">btnLevel!$I$88</definedName>
    <definedName name="btnLevelSheet29">btnLevel!$I$90</definedName>
    <definedName name="btnLevelSheet3">btnLevel!$I$40</definedName>
    <definedName name="btnLevelSheet30">btnLevel!$I$92</definedName>
    <definedName name="btnLevelSheet4">btnLevel!$I$42</definedName>
    <definedName name="btnLevelSheet5">btnLevel!$I$44</definedName>
    <definedName name="btnLevelSheet6">btnLevel!$I$46</definedName>
    <definedName name="btnLevelSheet7">btnLevel!$I$48</definedName>
    <definedName name="btnLevelSheet8">btnLevel!$I$50</definedName>
    <definedName name="btnLevelSheet9">btnLevel!$I$52</definedName>
    <definedName name="btnPlusMinusDec0">btnPlusMinus!$P$26</definedName>
    <definedName name="btnPlusMinusDec101">btnPlusMinus!$P$15</definedName>
    <definedName name="btnPlusMinusDec102">btnPlusMinus!$P$18</definedName>
    <definedName name="btnPlusMinusDec103">btnPlusMinus!$P$21</definedName>
    <definedName name="btnPlusMinusDec104">btnPlusMinus!$P$29</definedName>
    <definedName name="btnPlusMinusDec105">btnPlusMinus!$P$32</definedName>
    <definedName name="btnPlusMinusDec106">btnPlusMinus!$P$35</definedName>
    <definedName name="btnPlusMinusDec107">btnPlusMinus!$P$38</definedName>
    <definedName name="btnPlusMinusDec108">btnPlusMinus!$P$41</definedName>
    <definedName name="btnPlusMinusDec109">btnPlusMinus!$P$44</definedName>
    <definedName name="btnPlusMinusDec110">btnPlusMinus!$P$47</definedName>
    <definedName name="btnPlusMinusDec111">btnPlusMinus!$P$50</definedName>
    <definedName name="btnPlusMinusDec112">btnPlusMinus!$P$53</definedName>
    <definedName name="btnPlusMinusDec113">btnPlusMinus!$P$56</definedName>
    <definedName name="btnPlusMinusDec114">btnPlusMinus!$P$85</definedName>
    <definedName name="btnPlusMinusDec115">btnPlusMinus!$P$88</definedName>
    <definedName name="btnPlusMinusDec116">btnPlusMinus!$P$91</definedName>
    <definedName name="btnPlusMinusDec117">btnPlusMinus!$P$94</definedName>
    <definedName name="btnPlusMinusDec118">btnPlusMinus!$P$97</definedName>
    <definedName name="btnPlusMinusDec119">btnPlusMinus!$P$100</definedName>
    <definedName name="btnPlusMinusDec120">btnPlusMinus!$P$103</definedName>
    <definedName name="btnPlusMinusDec121">btnPlusMinus!$P$106</definedName>
    <definedName name="btnPlusMinusDec122">btnPlusMinus!$P$109</definedName>
    <definedName name="btnPlusMinusDec123">btnPlusMinus!$P$112</definedName>
    <definedName name="btnPlusMinusDec124">btnPlusMinus!$P$115</definedName>
    <definedName name="btnPlusMinusDec125">btnPlusMinus!$P$122</definedName>
    <definedName name="btnPlusMinusDec126">btnPlusMinus!$P$125</definedName>
    <definedName name="btnPlusMinusDec127">btnPlusMinus!$P$128</definedName>
    <definedName name="btnPlusMinusDec128">btnPlusMinus!$P$131</definedName>
    <definedName name="btnPlusMinusDec129">btnPlusMinus!$P$134</definedName>
    <definedName name="btnPlusMinusDec130">btnPlusMinus!$P$137</definedName>
    <definedName name="btnPlusMinusDec131">btnPlusMinus!$P$59</definedName>
    <definedName name="btnPlusMinusDec132">btnPlusMinus!$P$62</definedName>
    <definedName name="btnPlusMinusDec133">btnPlusMinus!$P$65</definedName>
    <definedName name="btnPlusMinusDec134">btnPlusMinus!$P$68</definedName>
    <definedName name="btnPlusMinusDec135">btnPlusMinus!$P$71</definedName>
    <definedName name="btnPlusMinusDec136">btnPlusMinus!$P$74</definedName>
    <definedName name="btnPlusMinusDec137">btnPlusMinus!$P$77</definedName>
    <definedName name="btnPlusMinusDec138">btnPlusMinus!$P$80</definedName>
    <definedName name="btnPlusMinusDec139">btnPlusMinus!$P$139</definedName>
    <definedName name="btnPlusMinusIncr0">btnPlusMinus!$G$26</definedName>
    <definedName name="btnPlusMinusIncr04">btnPlusMinus!$G$29</definedName>
    <definedName name="btnPlusMinusIncr101">btnPlusMinus!$G$15</definedName>
    <definedName name="btnPlusMinusIncr102">btnPlusMinus!$G$18</definedName>
    <definedName name="btnPlusMinusIncr103">btnPlusMinus!$G$21</definedName>
    <definedName name="btnPlusMinusIncr104">btnPlusMinus!$G$29</definedName>
    <definedName name="btnPlusMinusIncr105">btnPlusMinus!$G$32</definedName>
    <definedName name="btnPlusMinusIncr106">btnPlusMinus!$G$35</definedName>
    <definedName name="btnPlusMinusIncr107">btnPlusMinus!$G$38</definedName>
    <definedName name="btnPlusMinusIncr108">btnPlusMinus!$G$41</definedName>
    <definedName name="btnPlusMinusIncr109">btnPlusMinus!$G$44</definedName>
    <definedName name="btnPlusMinusIncr110">btnPlusMinus!$G$47</definedName>
    <definedName name="btnPlusMinusIncr111">btnPlusMinus!$G$50</definedName>
    <definedName name="btnPlusMinusIncr112">btnPlusMinus!$G$53</definedName>
    <definedName name="btnPlusMinusIncr113">btnPlusMinus!$G$56</definedName>
    <definedName name="btnPlusMinusIncr114">btnPlusMinus!$G$85</definedName>
    <definedName name="btnPlusMinusIncr115">btnPlusMinus!$G$88</definedName>
    <definedName name="btnPlusMinusIncr116">btnPlusMinus!$G$91</definedName>
    <definedName name="btnPlusMinusIncr117">btnPlusMinus!$G$94</definedName>
    <definedName name="btnPlusMinusIncr118">btnPlusMinus!$G$97</definedName>
    <definedName name="btnPlusMinusIncr119">btnPlusMinus!$G$100</definedName>
    <definedName name="btnPlusMinusIncr120">btnPlusMinus!$G$103</definedName>
    <definedName name="btnPlusMinusIncr121">btnPlusMinus!$G$106</definedName>
    <definedName name="btnPlusMinusIncr122">btnPlusMinus!$G$109</definedName>
    <definedName name="btnPlusMinusIncr123">btnPlusMinus!$G$112</definedName>
    <definedName name="btnPlusMinusIncr124">btnPlusMinus!$G$115</definedName>
    <definedName name="btnPlusMinusIncr125">btnPlusMinus!$G$122</definedName>
    <definedName name="btnPlusMinusIncr126">btnPlusMinus!$G$125</definedName>
    <definedName name="btnPlusMinusIncr127">btnPlusMinus!$G$128</definedName>
    <definedName name="btnPlusMinusIncr128">btnPlusMinus!$G$131</definedName>
    <definedName name="btnPlusMinusIncr129">btnPlusMinus!$G$134</definedName>
    <definedName name="btnPlusMinusIncr130">btnPlusMinus!$G$137</definedName>
    <definedName name="btnPlusMinusIncr131">btnPlusMinus!$G$59</definedName>
    <definedName name="btnPlusMinusIncr132">btnPlusMinus!$G$62</definedName>
    <definedName name="btnPlusMinusIncr133">btnPlusMinus!$G$65</definedName>
    <definedName name="btnPlusMinusIncr134">btnPlusMinus!$G$68</definedName>
    <definedName name="btnPlusMinusIncr135">btnPlusMinus!$G$71</definedName>
    <definedName name="btnPlusMinusIncr136">btnPlusMinus!$G$74</definedName>
    <definedName name="btnPlusMinusIncr137">btnPlusMinus!$G$77</definedName>
    <definedName name="btnPlusMinusIncr138">btnPlusMinus!$G$80</definedName>
    <definedName name="btnPlusMinusIncr139">btnPlusMinus!$G$139</definedName>
    <definedName name="btnPlusMinusMax0">btnPlusMinus!$J$26</definedName>
    <definedName name="btnPlusMinusMax101">btnPlusMinus!$J$15</definedName>
    <definedName name="btnPlusMinusMax102">btnPlusMinus!$J$18</definedName>
    <definedName name="btnPlusMinusMax103">btnPlusMinus!$J$21</definedName>
    <definedName name="btnPlusMinusMax104">btnPlusMinus!$J$29</definedName>
    <definedName name="btnPlusMinusMax105">btnPlusMinus!$J$32</definedName>
    <definedName name="btnPlusMinusMax106">btnPlusMinus!$J$35</definedName>
    <definedName name="btnPlusMinusMax107">btnPlusMinus!$J$38</definedName>
    <definedName name="btnPlusMinusMax108">btnPlusMinus!$J$41</definedName>
    <definedName name="btnPlusMinusMax109">btnPlusMinus!$J$44</definedName>
    <definedName name="btnPlusMinusMax110">btnPlusMinus!$J$47</definedName>
    <definedName name="btnPlusMinusMax111">btnPlusMinus!$J$50</definedName>
    <definedName name="btnPlusMinusMax112">btnPlusMinus!$J$53</definedName>
    <definedName name="btnPlusMinusMax113">btnPlusMinus!$J$56</definedName>
    <definedName name="btnPlusMinusMax114">btnPlusMinus!$J$85</definedName>
    <definedName name="btnPlusMinusMax115">btnPlusMinus!$J$88</definedName>
    <definedName name="btnPlusMinusMax116">btnPlusMinus!$J$91</definedName>
    <definedName name="btnPlusMinusMax117">btnPlusMinus!$J$94</definedName>
    <definedName name="btnPlusMinusMax118">btnPlusMinus!$J$97</definedName>
    <definedName name="btnPlusMinusMax119">btnPlusMinus!$J$100</definedName>
    <definedName name="btnPlusMinusMax120">btnPlusMinus!$J$103</definedName>
    <definedName name="btnPlusMinusMax121">btnPlusMinus!$J$106</definedName>
    <definedName name="btnPlusMinusMax122">btnPlusMinus!$J$109</definedName>
    <definedName name="btnPlusMinusMax123">btnPlusMinus!$J$112</definedName>
    <definedName name="btnPlusMinusMax124">btnPlusMinus!$J$115</definedName>
    <definedName name="btnPlusMinusMax125">btnPlusMinus!$J$122</definedName>
    <definedName name="btnPlusMinusMax126">btnPlusMinus!$J$125</definedName>
    <definedName name="btnPlusMinusMax127">btnPlusMinus!$J$128</definedName>
    <definedName name="btnPlusMinusMax128">btnPlusMinus!$J$131</definedName>
    <definedName name="btnPlusMinusMax129">btnPlusMinus!$J$134</definedName>
    <definedName name="btnPlusMinusMax130">btnPlusMinus!$J$137</definedName>
    <definedName name="btnPlusMinusMax131">btnPlusMinus!$J$59</definedName>
    <definedName name="btnPlusMinusMax132">btnPlusMinus!$J$62</definedName>
    <definedName name="btnPlusMinusMax133">btnPlusMinus!$J$65</definedName>
    <definedName name="btnPlusMinusMax134">btnPlusMinus!$J$68</definedName>
    <definedName name="btnPlusMinusMax135">btnPlusMinus!$J$71</definedName>
    <definedName name="btnPlusMinusMax136">btnPlusMinus!$J$74</definedName>
    <definedName name="btnPlusMinusMax137">btnPlusMinus!$J$77</definedName>
    <definedName name="btnPlusMinusMax138">btnPlusMinus!$J$80</definedName>
    <definedName name="btnPlusMinusMax139">btnPlusMinus!$J$139</definedName>
    <definedName name="btnPlusMinusMin0">btnPlusMinus!$M$26</definedName>
    <definedName name="btnPlusMinusMin101">btnPlusMinus!$M$15</definedName>
    <definedName name="btnPlusMinusMin102">btnPlusMinus!$M$18</definedName>
    <definedName name="btnPlusMinusMin103">btnPlusMinus!$M$21</definedName>
    <definedName name="btnPlusMinusMin104">btnPlusMinus!$M$29</definedName>
    <definedName name="btnPlusMinusMin105">btnPlusMinus!$M$32</definedName>
    <definedName name="btnPlusMinusMin106">btnPlusMinus!$M$35</definedName>
    <definedName name="btnPlusMinusMin107">btnPlusMinus!$M$38</definedName>
    <definedName name="btnPlusMinusMin108">btnPlusMinus!$M$41</definedName>
    <definedName name="btnPlusMinusMin109">btnPlusMinus!$M$44</definedName>
    <definedName name="btnPlusMinusMin110">btnPlusMinus!$M$47</definedName>
    <definedName name="btnPlusMinusMin111">btnPlusMinus!$M$50</definedName>
    <definedName name="btnPlusMinusMin112">btnPlusMinus!$M$53</definedName>
    <definedName name="btnPlusMinusMin113">btnPlusMinus!$M$56</definedName>
    <definedName name="btnPlusMinusMin114">btnPlusMinus!$M$85</definedName>
    <definedName name="btnPlusMinusMin115">btnPlusMinus!$M$88</definedName>
    <definedName name="btnPlusMinusMin116">btnPlusMinus!$M$91</definedName>
    <definedName name="btnPlusMinusMin117">btnPlusMinus!$M$94</definedName>
    <definedName name="btnPlusMinusMin118">btnPlusMinus!$M$97</definedName>
    <definedName name="btnPlusMinusMin119">btnPlusMinus!$M$100</definedName>
    <definedName name="btnPlusMinusMin120">btnPlusMinus!$M$103</definedName>
    <definedName name="btnPlusMinusMin121">btnPlusMinus!$M$106</definedName>
    <definedName name="btnPlusMinusMin122">btnPlusMinus!$M$109</definedName>
    <definedName name="btnPlusMinusMin123">btnPlusMinus!$M$112</definedName>
    <definedName name="btnPlusMinusMin124">btnPlusMinus!$M$115</definedName>
    <definedName name="btnPlusMinusMin125">btnPlusMinus!$M$122</definedName>
    <definedName name="btnPlusMinusMin126">btnPlusMinus!$M$125</definedName>
    <definedName name="btnPlusMinusMin127">btnPlusMinus!$M$128</definedName>
    <definedName name="btnPlusMinusMin128">btnPlusMinus!$M$131</definedName>
    <definedName name="btnPlusMinusMin129">btnPlusMinus!$M$134</definedName>
    <definedName name="btnPlusMinusMin130">btnPlusMinus!$M$137</definedName>
    <definedName name="btnPlusMinusMin131">btnPlusMinus!$M$59</definedName>
    <definedName name="btnPlusMinusMin132">btnPlusMinus!$M$62</definedName>
    <definedName name="btnPlusMinusMin133">btnPlusMinus!$M$65</definedName>
    <definedName name="btnPlusMinusMin134">btnPlusMinus!$M$68</definedName>
    <definedName name="btnPlusMinusMin135">btnPlusMinus!$M$71</definedName>
    <definedName name="btnPlusMinusMin136">btnPlusMinus!$M$74</definedName>
    <definedName name="btnPlusMinusMin137">btnPlusMinus!$M$77</definedName>
    <definedName name="btnPlusMinusMin138">btnPlusMinus!$M$80</definedName>
    <definedName name="btnPlusMinusMin139">btnPlusMinus!$M$139</definedName>
    <definedName name="calcAvgConsumption">calcConsumption!$E$90:$E$90</definedName>
    <definedName name="calcAvgRenRate">calcConsumption!$E$112:$E$112</definedName>
    <definedName name="calcChallengeFTEs">calcFTEsExpenses!$E$79:$E$79</definedName>
    <definedName name="CalcCloudAdoption">calcSubscriptions!$E$381:$E$381</definedName>
    <definedName name="calcCloudMigration">calcSubscriptions!$E$11:$E$11</definedName>
    <definedName name="calcCloudMigrationChurnRate">calcSubscriptions!$E$12:$E$12</definedName>
    <definedName name="calcCloudMigrationInternalReadiness">calcSubscriptions!$E$7:$E$7</definedName>
    <definedName name="calcCloudMigrationSkill2">calcSubscriptions!$E$8:$E$8</definedName>
    <definedName name="calcCloudMigrationSuccessRate">calcSubscriptions!$E$9:$E$9</definedName>
    <definedName name="calcCollab">calcCollabIntReadiness!$E$13:$E$13</definedName>
    <definedName name="calcCollabKicker">LookupTable!$E$29:$N$29</definedName>
    <definedName name="calcCommercialDirectSalesFTEs">calcFTEsExpenses!$E$57:$E$57</definedName>
    <definedName name="calcCommercialDirectSalesSalary">calcFTEsExpenses!$E$96:$E$96</definedName>
    <definedName name="calcCommercialFixedPartnerExp">calcFTEsExpenses!$E$105:$E$105</definedName>
    <definedName name="calcCommercialInsideSalesFTEs">calcFTEsExpenses!$E$58:$E$58</definedName>
    <definedName name="calcCommercialInsideSalesSalary">calcFTEsExpenses!$E$97:$E$97</definedName>
    <definedName name="calcCommercialMMPartner1Development">calcEndingLevels!$E$232:$E$232</definedName>
    <definedName name="calcCommercialMMPartner1Education">calcEndingLevels!$E$234:$E$234</definedName>
    <definedName name="calcCommercialMMPartner1Incentives">calcEndingLevels!$E$233:$E$233</definedName>
    <definedName name="calcCommercialMMPartner2Development">calcEndingLevels!$E$236:$E$236</definedName>
    <definedName name="calcCommercialMMPartner2Education">calcEndingLevels!$E$238:$E$238</definedName>
    <definedName name="calcCommercialMMPartner2Incentives">calcEndingLevels!$E$237:$E$237</definedName>
    <definedName name="calcCommercialMMPartner3Development">calcEndingLevels!$E$240:$E$240</definedName>
    <definedName name="calcCommercialMMPartner3Education">calcEndingLevels!$E$242:$E$242</definedName>
    <definedName name="calcCommercialMMPartner3Incentives">calcEndingLevels!$E$241:$E$241</definedName>
    <definedName name="calcCommercialMMPartner4Development">calcEndingLevels!$E$244:$E$244</definedName>
    <definedName name="calcCommercialMMPartner4Education">calcEndingLevels!$E$246:$E$246</definedName>
    <definedName name="calcCommercialMMPartner4Incentives">calcEndingLevels!$E$245:$E$245</definedName>
    <definedName name="calcCommercialPartner1Budget">calcFTEsExpenses!$E$127:$E$127</definedName>
    <definedName name="calcCommercialPartner1Development">calcEndingLevels!$E$232:$E$232</definedName>
    <definedName name="calcCommercialPartner1FTEs">calcFTEsExpenses!$E$134:$E$134</definedName>
    <definedName name="calcCommercialPartner2Budget">calcFTEsExpenses!$E$128:$E$128</definedName>
    <definedName name="calcCommercialPartner2FTEs">calcFTEsExpenses!$E$135:$E$135</definedName>
    <definedName name="calcCommercialPartner3Budget">calcFTEsExpenses!$E$129:$E$129</definedName>
    <definedName name="calcCommercialPartner3FTEs">calcFTEsExpenses!$E$136:$E$136</definedName>
    <definedName name="calcCommercialPartner4Budget">calcFTEsExpenses!$E$130:$E$130</definedName>
    <definedName name="calcCommercialPartner4FTEs">calcFTEsExpenses!$E$137:$E$137</definedName>
    <definedName name="calcCommercialPartnerDevelopment">calcEndingLevels!$E$190:$E$190</definedName>
    <definedName name="calcCommercialPartnerDevelopmentExp">calcFTEsExpenses!$E$102:$E$102</definedName>
    <definedName name="calcCommercialPartnerDevelopmentFTEs">calcFTEsExpenses!$E$63:$E$63</definedName>
    <definedName name="calcCommercialPartnerEducation">calcEndingLevels!$E$198:$E$198</definedName>
    <definedName name="calcCommercialPartnerEducationExp">calcFTEsExpenses!$E$104:$E$104</definedName>
    <definedName name="calcCommercialPartnerEducationFTEs">calcFTEsExpenses!$E$65:$E$65</definedName>
    <definedName name="calcCommercialPartnerIncentives">calcEndingLevels!$E$194:$E$194</definedName>
    <definedName name="calcCommercialPartnerIncentivesExp">calcFTEsExpenses!$E$103:$E$103</definedName>
    <definedName name="calcCommercialPartnerIncentivesFTEs">calcFTEsExpenses!$E$64:$E$64</definedName>
    <definedName name="calcCommercialPartnerSalary">calcFTEsExpenses!$E$106:$E$106</definedName>
    <definedName name="calcCommercialProd1Price">calcEndingLevels!$E$166:$E$166</definedName>
    <definedName name="calcCommercialProd2Price">calcEndingLevels!$E$170:$E$170</definedName>
    <definedName name="calcCommercialProd3Price">calcEndingLevels!$E$174:$E$174</definedName>
    <definedName name="calcCommercialServicesPremierFTEs">calcFTEsExpenses!$E$59:$E$59</definedName>
    <definedName name="calcCommercialServicesPremierSalary">calcFTEsExpenses!$E$98:$E$98</definedName>
    <definedName name="calcCommercialSkill1">calcEndingLevels!$E$178:$E$178</definedName>
    <definedName name="calcCommercialSkill1Exp">calcFTEsExpenses!$E$99:$E$99</definedName>
    <definedName name="calcCommercialSkill1FTEs">calcFTEsExpenses!$E$60:$E$60</definedName>
    <definedName name="calcCommercialSkill2">calcEndingLevels!$E$182:$E$182</definedName>
    <definedName name="calcCommercialSkill2Exp">calcFTEsExpenses!$E$100:$E$100</definedName>
    <definedName name="calcCommercialSkill2FTEs">calcFTEsExpenses!$E$61:$E$61</definedName>
    <definedName name="calcCommercialSkill3">calcEndingLevels!$E$186:$E$186</definedName>
    <definedName name="calcCommercialSkill3Exp">calcFTEsExpenses!$E$101:$E$101</definedName>
    <definedName name="calcCommercialSkill3FTEs">calcFTEsExpenses!$E$62:$E$62</definedName>
    <definedName name="calcCommercialTotalFTEs">calcFTEsExpenses!$E$66:$E$66</definedName>
    <definedName name="calcCommercialTotalPartnerBudget">calcFTEsExpenses!$E$125:$E$125</definedName>
    <definedName name="calcCommercialTotalPartnerFTEs">calcFTEsExpenses!$E$132:$E$132</definedName>
    <definedName name="calcCommercialTotalSalary">calcFTEsExpenses!$E$107:$E$107</definedName>
    <definedName name="calcConsumerDirectSalesFTEs">calcFTEsExpenses!$E$69:$E$69</definedName>
    <definedName name="calcConsumerDirectSalesSalary">calcFTEsExpenses!$E$110:$E$110</definedName>
    <definedName name="calcConsumerFixedPartnerExp">calcFTEsExpenses!$E$118:$E$118</definedName>
    <definedName name="calcConsumerInsideSalesFTEs">calcFTEsExpenses!$E$70:$E$70</definedName>
    <definedName name="calcConsumerInsideSalesSalary">calcFTEsExpenses!$E$111:$E$111</definedName>
    <definedName name="calcConsumerMMPartner4Development">calcEndingLevels!$E$248:$E$248</definedName>
    <definedName name="calcConsumerMMPartner4Education">calcEndingLevels!$E$250:$E$250</definedName>
    <definedName name="calcConsumerMMPartner4Incentives">calcEndingLevels!$E$249:$E$249</definedName>
    <definedName name="calcConsumerMMPartner5Development">calcEndingLevels!$E$252:$E$252</definedName>
    <definedName name="calcConsumerMMPartner5Education">calcEndingLevels!$E$254:$E$254</definedName>
    <definedName name="calcConsumerMMPartner5Incentives">calcEndingLevels!$E$253:$E$253</definedName>
    <definedName name="calcConsumerMMPartner6Development">calcEndingLevels!$E$256:$E$256</definedName>
    <definedName name="calcConsumerMMPartner6Education">calcEndingLevels!$E$258:$E$258</definedName>
    <definedName name="calcConsumerMMPartner6Incentives">calcEndingLevels!$E$257:$E$257</definedName>
    <definedName name="calcConsumerPartner4Budget">calcFTEsExpenses!$E$143:$E$143</definedName>
    <definedName name="calcConsumerPartner4FTEs">calcFTEsExpenses!$E$149:$E$149</definedName>
    <definedName name="calcConsumerPartner5Budget">calcFTEsExpenses!$E$144:$E$144</definedName>
    <definedName name="calcConsumerPartner5FTEs">calcFTEsExpenses!$E$150:$E$150</definedName>
    <definedName name="calcConsumerPartner6Budget">calcFTEsExpenses!$E$145:$E$145</definedName>
    <definedName name="calcConsumerPartner6FTEs">calcFTEsExpenses!$E$151:$E$151</definedName>
    <definedName name="calcConsumerPartnerDevelopment">calcEndingLevels!$E$220:$E$220</definedName>
    <definedName name="calcConsumerPartnerDevelopmentExp">calcFTEsExpenses!$E$115:$E$115</definedName>
    <definedName name="calcConsumerPartnerDevelopmentFTEs">calcFTEsExpenses!$E$74:$E$74</definedName>
    <definedName name="calcConsumerPartnerEducation">calcEndingLevels!$E$228:$E$228</definedName>
    <definedName name="calcConsumerPartnerEducationExp">calcFTEsExpenses!$E$117:$E$117</definedName>
    <definedName name="calcConsumerPartnerEducationFTEs">calcFTEsExpenses!$E$76:$E$76</definedName>
    <definedName name="calcConsumerPartnerIncentives">calcEndingLevels!$E$224:$E$224</definedName>
    <definedName name="calcConsumerPartnerIncentivesExp">calcFTEsExpenses!$E$116:$E$116</definedName>
    <definedName name="calcConsumerPartnerIncentivesFTEs">calcFTEsExpenses!$E$75:$E$75</definedName>
    <definedName name="calcConsumerPartnerSalary">calcFTEsExpenses!$E$119:$E$119</definedName>
    <definedName name="calcConsumerProd1Price">calcEndingLevels!$E$204:$E$204</definedName>
    <definedName name="calcConsumerProd3Price">calcEndingLevels!$E$208:$E$208</definedName>
    <definedName name="calcConsumerServicesFTEs">calcFTEsExpenses!$E$71:$E$71</definedName>
    <definedName name="calcConsumerServicesSalary">calcFTEsExpenses!$E$112:$E$112</definedName>
    <definedName name="calcConsumerSkill1">calcEndingLevels!$E$212:$E$212</definedName>
    <definedName name="calcConsumerSkill1Exp">calcFTEsExpenses!$E$113:$E$113</definedName>
    <definedName name="calcConsumerSkill1FTEs">calcFTEsExpenses!$E$72:$E$72</definedName>
    <definedName name="calcConsumerSkill2">calcEndingLevels!$E$216:$E$216</definedName>
    <definedName name="calcConsumerSkill2Exp">calcFTEsExpenses!$E$114:$E$114</definedName>
    <definedName name="calcConsumerSkill2FTEs">calcFTEsExpenses!$E$73:$E$73</definedName>
    <definedName name="calcConsumerTalentSalary">calcFTEsExpenses!$E$120:$E$120</definedName>
    <definedName name="calcConsumerTotalFTEs">calcFTEsExpenses!$E$77:$E$77</definedName>
    <definedName name="calcConsumerTotalPartnerBudget">calcFTEsExpenses!$E$141:$E$141</definedName>
    <definedName name="calcConsumerTotalPartnerFTEs">calcFTEsExpenses!$E$147:$E$147</definedName>
    <definedName name="calcCPE">calcCPA!$E$92:$N$92</definedName>
    <definedName name="calcCustSuccess">calcCustSuccess!$E$54:$E$54</definedName>
    <definedName name="calcCustSuccessCSAT">calcCustSuccess!$E$35:$E$35</definedName>
    <definedName name="calcCustSuccessEE">calcCustSuccess!$E$46:$E$46</definedName>
    <definedName name="calcCustSuccessOpMargin">calcCustSuccess!$E$24:$E$24</definedName>
    <definedName name="calcCustSuccessRev">calcCustSuccess!$E$12:$E$12</definedName>
    <definedName name="calcDataCenterCapex">calcDataCenter!$E$65:$N$65</definedName>
    <definedName name="calcDataCenterCapexMult">calcDataCenter!$E$53</definedName>
    <definedName name="calcDataCenterCapexPerc">calcDataCenter!$E$57:$N$57</definedName>
    <definedName name="calcDataCenterInvestCum">calcDataCenter!$E$43:$N$43</definedName>
    <definedName name="calcDataCenterInvestDec">calcDataCenter!$E$41:$N$41</definedName>
    <definedName name="calcDataCenterInvestPLevel">calcDataCenter!$E$45:$N$45</definedName>
    <definedName name="calcDataCenterOpex">calcDataCenter!$E$67:$N$67</definedName>
    <definedName name="calcDataCenterOpexMult">calcDataCenter!$E$55</definedName>
    <definedName name="calcDataCenterOpexPerc">calcDataCenter!$E$59:$N$59</definedName>
    <definedName name="calcDataCenterRequiredSales">calcDataCenter!$E$47:$N$47</definedName>
    <definedName name="calcDataCenterRound">calcDataCenter!$F$4</definedName>
    <definedName name="calcDataCenterSales">calcDataCenter!$E$39:$N$39</definedName>
    <definedName name="calcDataCenterUtilization">calcDataCenter!$E$63:$N$63</definedName>
    <definedName name="calcDataCenterValue">calcDataCenter!$E$86:$N$86</definedName>
    <definedName name="calcEGInteroperability">calcEndingLevels!$E$55:$E$55</definedName>
    <definedName name="calcEGInteroperabilityCollab">calcEndingLevels!$E$93:$E$93</definedName>
    <definedName name="calcEGInteroperabilityETUs">calcFTEsExpenses!$E$34:$E$34</definedName>
    <definedName name="calcEGInteroperabilityInvestment">calcEndingLevels!$E$94:$E$94</definedName>
    <definedName name="calcEGInteroperabilityMarketing">calcEndingLevels!$E$131:$E$131</definedName>
    <definedName name="calcEGProd1Offering1">calcEndingLevels!$E$59:$E$59</definedName>
    <definedName name="calcEGProd1Offering1Collab">calcEndingLevels!$E$97:$E$97</definedName>
    <definedName name="calcEGProd1Offering1ETUs">calcFTEsExpenses!$E$35:$E$35</definedName>
    <definedName name="calcEGProd1Offering1Investment">calcEndingLevels!$E$98:$E$98</definedName>
    <definedName name="calcEGProd1Offering1Marketing">calcEndingLevels!$E$135:$E$135</definedName>
    <definedName name="calcEGProd1Offering2">calcEndingLevels!$E$63:$E$63</definedName>
    <definedName name="calcEGProd1Offering2Collab">calcEndingLevels!$E$101:$E$101</definedName>
    <definedName name="calcEGProd1Offering2ETUs">calcFTEsExpenses!$E$36:$E$36</definedName>
    <definedName name="calcEGProd1Offering2Investment">calcEndingLevels!$E$102:$E$102</definedName>
    <definedName name="calcEGProd1Offering2Marketing">calcEndingLevels!$E$139:$E$139</definedName>
    <definedName name="calcEGProd2Offering1">calcEndingLevels!$E$67:$E$67</definedName>
    <definedName name="calcEGProd2Offering1Collab">calcEndingLevels!$E$105:$E$105</definedName>
    <definedName name="calcEGProd2Offering1ETUs">calcFTEsExpenses!$E$37:$E$37</definedName>
    <definedName name="calcEGProd2Offering1Investment">calcEndingLevels!$E$106:$E$106</definedName>
    <definedName name="calcEGProd2Offering1Marketing">calcEndingLevels!$E$143:$E$143</definedName>
    <definedName name="calcEGProd2Offering2">calcEndingLevels!$E$71:$E$71</definedName>
    <definedName name="calcEGProd2Offering2Collab">calcEndingLevels!$E$109:$E$109</definedName>
    <definedName name="calcEGProd2Offering2ETUs">calcFTEsExpenses!$E$38:$E$38</definedName>
    <definedName name="calcEGProd2Offering2Investment">calcEndingLevels!$E$110:$E$110</definedName>
    <definedName name="calcEGProd2Offering2Marketing">calcEndingLevels!$E$147:$E$147</definedName>
    <definedName name="calcEGProd3Offering1">calcEndingLevels!$E$75:$E$75</definedName>
    <definedName name="calcEGProd3Offering1Collab">calcEndingLevels!$E$113:$E$113</definedName>
    <definedName name="calcEGProd3Offering1ETUs">calcFTEsExpenses!$E$39:$E$39</definedName>
    <definedName name="calcEGProd3Offering1Investment">calcEndingLevels!$E$114:$E$114</definedName>
    <definedName name="calcEGProd3Offering1Marketing">calcEndingLevels!$E$151:$E$151</definedName>
    <definedName name="calcEGProd3Offering2">calcEndingLevels!$E$80:$E$80</definedName>
    <definedName name="calcEGProd3Offering2Collab">calcEndingLevels!$E$117:$E$117</definedName>
    <definedName name="calcEGProd3Offering2ETUs">calcFTEsExpenses!$E$40:$E$40</definedName>
    <definedName name="calcEGProd3Offering2Investment">calcEndingLevels!$E$118:$E$118</definedName>
    <definedName name="calcEGProd3Offering2Marketing">calcEndingLevels!$E$155:$E$155</definedName>
    <definedName name="calcEGScalability">calcEndingLevels!$E$51:$E$51</definedName>
    <definedName name="calcEGScalabilityCollab">calcEndingLevels!$E$89:$E$89</definedName>
    <definedName name="calcEGScalabilityETUs">calcFTEsExpenses!$E$33:$E$33</definedName>
    <definedName name="calcEGScalabilityInvestment">calcEndingLevels!$E$90:$E$90</definedName>
    <definedName name="calcEGScalabilityMarketing">calcEndingLevels!$E$127:$E$127</definedName>
    <definedName name="calcEGSecurity">calcEndingLevels!$E$47:$E$47</definedName>
    <definedName name="calcEGSecurityCollab">calcEndingLevels!$E$85:$E$85</definedName>
    <definedName name="calcEGSecurityETUs">calcFTEsExpenses!$E$32:$E$32</definedName>
    <definedName name="calcEGSecurityInvestment">calcEndingLevels!$E$86:$E$86</definedName>
    <definedName name="calcEGSecurityMarketing">calcEndingLevels!$E$123:$E$123</definedName>
    <definedName name="calcEGTotalETUs">calcFTEsExpenses!$E$41:$E$41</definedName>
    <definedName name="calcEndingHeadcount">calcFTEsExpenses!$E$24:$E$24</definedName>
    <definedName name="calcETUsAvailable">calcFTEsExpenses!$E$30:$E$30</definedName>
    <definedName name="calcETUsRemaining">calcFTEsExpenses!$E$43:$E$43</definedName>
    <definedName name="calcExecution">calcExecution!$E$93:$N$93</definedName>
    <definedName name="calcFTEsAvailable">calcFTEsExpenses!$E$47:$E$47</definedName>
    <definedName name="calcFTEsRemaining">calcFTEsExpenses!$E$81:$E$81</definedName>
    <definedName name="calcFulltimeFTEs">calcFTEsExpenses!$E$21:$E$21</definedName>
    <definedName name="calcGlobalDemandCenterKicker">LookupTable!$E$51:$N$51</definedName>
    <definedName name="calcInternalReadiness">calcCollabIntReadiness!$E$23:$E$23</definedName>
    <definedName name="calcMMScoreInteroperability">calcEndingLevels!$E$132:$E$132</definedName>
    <definedName name="calcMMScoreProd1">calcEndingLevels!$E$158:$E$158</definedName>
    <definedName name="calcMMScoreProd1Offering1">calcEndingLevels!$E$136:$E$136</definedName>
    <definedName name="calcMMScoreProd1Offering2">calcEndingLevels!$E$140:$E$140</definedName>
    <definedName name="calcMMScoreProd2">calcEndingLevels!$E$159:$E$159</definedName>
    <definedName name="calcMMScoreProd2Offering1">calcEndingLevels!$E$144:$E$144</definedName>
    <definedName name="calcMMScoreProd2Offering2">calcEndingLevels!$E$148:$E$148</definedName>
    <definedName name="calcMMScoreProd3">calcEndingLevels!$E$160:$E$160</definedName>
    <definedName name="calcMMScoreProd3Offering1">calcEndingLevels!$E$152:$E$152</definedName>
    <definedName name="calcMMScoreProd3Offering2">calcEndingLevels!$E$156:$E$156</definedName>
    <definedName name="calcMMScoreScalability">calcEndingLevels!$E$128:$E$128</definedName>
    <definedName name="calcMMScoreSecurity">calcEndingLevels!$E$124:$E$124</definedName>
    <definedName name="calcOpsCollabFTEs">calcFTEsExpenses!$E$50:$E$50</definedName>
    <definedName name="calcOpsCollabSalary">calcFTEsExpenses!$E$88:$E$88</definedName>
    <definedName name="calcOpsCommercialProd1MarketingBudget">calcEndingLevels!$E$21:$E$21</definedName>
    <definedName name="calcOpsCommercialProd2MarketingBudget">calcEndingLevels!$E$25:$E$25</definedName>
    <definedName name="calcOpsCommercialProd3MarketingBudget">calcEndingLevels!$E$29:$E$29</definedName>
    <definedName name="calcOpsCommercialTotalMarketingBudget">calcEndingLevels!$E$17:$E$17</definedName>
    <definedName name="calcOpsConsumerProd1MarketingBudget">calcEndingLevels!$E$37:$E$37</definedName>
    <definedName name="calcOpsConsumerProd3MarketingBudget">calcEndingLevels!$E$41:$E$41</definedName>
    <definedName name="calcOpsConsumerTotalMarketingBudget">calcEndingLevels!$E$33:$E$33</definedName>
    <definedName name="calcOpsGlobalDemandCenterFTEs">calcFTEsExpenses!$E$52:$E$52</definedName>
    <definedName name="calcOpsGlobalDemandCenterSalary">calcFTEsExpenses!$E$90:$E$90</definedName>
    <definedName name="calcOpsITFTEs">calcFTEsExpenses!$E$51:$E$51</definedName>
    <definedName name="calcOpsITSalary">calcFTEsExpenses!$E$89:$E$89</definedName>
    <definedName name="calcOpsSupplyChainFTEs">calcFTEsExpenses!$E$53:$E$53</definedName>
    <definedName name="calcOpsSupplyChainSalary">calcFTEsExpenses!$E$91:$E$91</definedName>
    <definedName name="calcOpsTalentSalary">calcFTEsExpenses!$E$87:$E$87</definedName>
    <definedName name="calcOpsTotalExp">calcFTEsExpenses!$E$93:$E$93</definedName>
    <definedName name="calcOpsTotalFTEs">calcFTEsExpenses!$E$54:$E$54</definedName>
    <definedName name="calcOpsTotalMarketingExp">calcFTEsExpenses!$E$86:$E$86</definedName>
    <definedName name="calcOpsUnallocatedSalary">calcFTEsExpenses!$E$92:$E$92</definedName>
    <definedName name="CalcProd1Seg1BaseCOGSPNewUnit">calcSubscriptions!$E$44:$E$44</definedName>
    <definedName name="CalcProd1Seg1BaseCOGSPRenewalUnit">calcSubscriptions!$E$60:$E$60</definedName>
    <definedName name="CalcProd1Seg1CloudAdoption">calcSubscriptions!$E$26:$E$26</definedName>
    <definedName name="calcProd1Seg1CloudCLV">calcCLV!$E$55:$E$55</definedName>
    <definedName name="calcProd1Seg1CloudCostToServe">calcCLV!$E$36:$E$36</definedName>
    <definedName name="calcProd1Seg1CloudCustLifetime">calcCLV!$E$24:$E$24</definedName>
    <definedName name="CalcProd1Seg1CloudMigrationChurnSubs">calcSubscriptions!$E$19:$E$19</definedName>
    <definedName name="CalcProd1Seg1CloudMigrationSubs">calcSubscriptions!$E$28:$E$28</definedName>
    <definedName name="CalcProd1Seg1CloudRenewalCOGSUnit">calcSubscriptions!$E$65:$E$65</definedName>
    <definedName name="calcProd1Seg1Consumption">calcConsumption!$E$15:$E$15</definedName>
    <definedName name="calcProd1Seg1CostToAcquire">calcCLV!$E$52:$E$52</definedName>
    <definedName name="CalcProd1Seg1DCExpNew">calcSubscriptions!$E$354:$E$354</definedName>
    <definedName name="CalcProd1Seg1DCExpRenewal">calcSubscriptions!$E$355:$E$355</definedName>
    <definedName name="CalcProd1Seg1DefRev">calcSubscriptions!$E$86:$E$86</definedName>
    <definedName name="calcProd1Seg1DirectSalesSalaryExp">calcCLV!$E$50:$E$50</definedName>
    <definedName name="calcProd1Seg1MarketingExp">calcCLV!$E$49:$E$49</definedName>
    <definedName name="CalcProd1Seg1NewCOGS">calcSubscriptions!$E$51:$E$51</definedName>
    <definedName name="CalcProd1Seg1NewCustomers">calcSubscriptions!$E$31:$E$31</definedName>
    <definedName name="CalcProd1Seg1NewVolume">calcSubscriptions!$E$21:$E$21</definedName>
    <definedName name="calcProd1Seg1NonCloudCLV">calcCLV!$E$56:$E$56</definedName>
    <definedName name="CalcProd1Seg1NonCloudCOGS">calcSubscriptions!$E$74:$E$74</definedName>
    <definedName name="calcProd1Seg1NonCloudCostToServe">calcCLV!$E$46:$E$46</definedName>
    <definedName name="calcProd1Seg1NonCloudCustLifetime">calcCLV!$E$27:$E$27</definedName>
    <definedName name="CalcProd1Seg1NonCloudRenewalCOGSUnit">calcSubscriptions!$E$72:$E$72</definedName>
    <definedName name="CalcProd1Seg1NonCloudVolume">calcSubscriptions!$E$23:$E$23</definedName>
    <definedName name="calcProd1Seg1PartnerMMScore">calcEndingLevels!$E$263:$E$263</definedName>
    <definedName name="calcProd1Seg1PartnerSalaryExp">calcCLV!$E$51:$E$51</definedName>
    <definedName name="calcProd1Seg1Pct">calcConsumption!$E$79:$E$79</definedName>
    <definedName name="CalcProd1Seg1Price">calcSubscriptions!$E$35:$E$35</definedName>
    <definedName name="CalcProd1Seg1Prod1NewCOGSUnit">calcSubscriptions!$E$49:$E$49</definedName>
    <definedName name="CalcProd1Seg1RenewalCOGS">calcSubscriptions!$E$67:$E$67</definedName>
    <definedName name="CalcProd1Seg1RenewalCustomers">calcSubscriptions!$E$32:$E$32</definedName>
    <definedName name="CalcProd1Seg1RenewalVolume">calcSubscriptions!$E$22:$E$22</definedName>
    <definedName name="calcProd1Seg1ServicesSalaryExp">calcCLV!$E$41:$E$41</definedName>
    <definedName name="calcProd1Seg1TotalCLV">calcCLV!$E$58:$E$58</definedName>
    <definedName name="CalcProd1Seg1TotalCustomers">calcSubscriptions!$E$33:$E$33</definedName>
    <definedName name="CalcProd1Seg1TotalVolume">calcSubscriptions!$E$24:$E$24</definedName>
    <definedName name="CalcProd1Seg2BaseCOGSPNewUnit">calcSubscriptions!$E$117:$E$117</definedName>
    <definedName name="CalcProd1Seg2BaseCOGSPRenewalUnit">calcSubscriptions!$E$133:$E$133</definedName>
    <definedName name="CalcProd1Seg2CloudAdoption">calcSubscriptions!$E$101:$E$101</definedName>
    <definedName name="calcProd1Seg2CloudCLV">calcCLV!$E$100:$E$100</definedName>
    <definedName name="calcProd1Seg2CloudCostToServe">calcCLV!$E$82:$E$82</definedName>
    <definedName name="calcProd1Seg2CloudCustLifetime">calcCLV!$E$69:$E$69</definedName>
    <definedName name="CalcProd1Seg2CloudMigrationChurnSubs">calcSubscriptions!$E$94:$E$94</definedName>
    <definedName name="CalcProd1Seg2CloudMigrationSubs">calcSubscriptions!$E$93:$E$93</definedName>
    <definedName name="CalcProd1Seg2CloudRenewalCOGSUnit">calcSubscriptions!$E$138:$E$138</definedName>
    <definedName name="calcProd1Seg2Consumption">calcConsumption!$E$28:$E$28</definedName>
    <definedName name="calcProd1Seg2CostToAcquire">calcCLV!$E$97:$E$97</definedName>
    <definedName name="CalcProd1Seg2DCExpNew">calcSubscriptions!$E$356:$E$356</definedName>
    <definedName name="CalcProd1Seg2DCExpRenewal">calcSubscriptions!$E$357:$E$357</definedName>
    <definedName name="CalcProd1Seg2DefRev">calcSubscriptions!$E$159:$E$159</definedName>
    <definedName name="calcProd1Seg2DirectSalesSalaryExp">calcCLV!$E$95:$E$95</definedName>
    <definedName name="calcProd1Seg2MarketingExp">calcCLV!$E$94:$E$94</definedName>
    <definedName name="CalcProd1Seg2NewCOGS">calcSubscriptions!$E$124:$E$124</definedName>
    <definedName name="CalcProd1Seg2NewCustomers">calcSubscriptions!$E$104:$E$104</definedName>
    <definedName name="CalcProd1Seg2NewVolume">calcSubscriptions!$E$96:$E$96</definedName>
    <definedName name="calcProd1Seg2NonCloudCLV">calcCLV!$E$101:$E$101</definedName>
    <definedName name="CalcProd1Seg2NonCloudCOGS">calcSubscriptions!$E$147:$E$147</definedName>
    <definedName name="calcProd1Seg2NonCloudCostToServe">calcCLV!$E$91:$E$91</definedName>
    <definedName name="calcProd1Seg2NonCloudCustLifetime">calcCLV!$E$72:$E$72</definedName>
    <definedName name="CalcProd1Seg2NonCloudRenewalCOGSUnit">calcSubscriptions!$E$145:$E$145</definedName>
    <definedName name="CalcProd1Seg2NonCloudVolume">calcSubscriptions!$E$98:$E$98</definedName>
    <definedName name="calcProd1Seg2PartnerMMScore">calcEndingLevels!$E$268:$E$268</definedName>
    <definedName name="calcProd1Seg2PartnerSalaryExp">calcCLV!$E$96:$E$96</definedName>
    <definedName name="calcProd1Seg2Pct">calcConsumption!$E$80:$E$80</definedName>
    <definedName name="CalcProd1Seg2Price">calcSubscriptions!$E$108:$E$108</definedName>
    <definedName name="CalcProd1Seg2Prod1NewCOGSUnit">calcSubscriptions!$E$122:$E$122</definedName>
    <definedName name="CalcProd1Seg2RenewalCOGS">calcSubscriptions!$E$140:$E$140</definedName>
    <definedName name="CalcProd1Seg2RenewalCustomers">calcSubscriptions!$E$105:$E$105</definedName>
    <definedName name="CalcProd1Seg2RenewalVolume">calcSubscriptions!$E$97:$E$97</definedName>
    <definedName name="calcProd1Seg2ServicesSalaryExp">calcCLV!$E$77:$E$77</definedName>
    <definedName name="calcProd1Seg2TotalCLV">calcCLV!$E$103:$E$103</definedName>
    <definedName name="CalcProd1Seg2TotalCustomers">calcSubscriptions!$E$106:$E$106</definedName>
    <definedName name="CalcProd1Seg2TotalVolume">calcSubscriptions!$E$99:$E$99</definedName>
    <definedName name="CalcProd1Seg3BaseCOGSPNewUnit">calcSubscriptions!$E$184:$E$184</definedName>
    <definedName name="CalcProd1Seg3BaseCOGSPRenewalUnit">calcSubscriptions!$E$200:$E$200</definedName>
    <definedName name="CalcProd1Seg3CloudAdoption">calcSubscriptions!$E$173:$E$173</definedName>
    <definedName name="calcProd1Seg3CloudCLV">calcCLV!$E$145:$E$145</definedName>
    <definedName name="calcProd1Seg3CloudCostToServe">calcCLV!$E$127:$E$127</definedName>
    <definedName name="calcProd1Seg3CloudCustLifetime">calcCLV!$E$114:$E$114</definedName>
    <definedName name="CalcProd1Seg3CloudMigrationSubs">calcSubscriptions!$E$166:$E$166</definedName>
    <definedName name="CalcProd1Seg3CloudRenewalCOGSUnit">calcSubscriptions!$E$205:$E$205</definedName>
    <definedName name="calcProd1Seg3Consumption">calcConsumption!$E$40:$E$40</definedName>
    <definedName name="calcProd1Seg3CostToAcquire">calcCLV!$E$142:$E$142</definedName>
    <definedName name="CalcProd1Seg3DCExpNew">calcSubscriptions!$E$358:$E$358</definedName>
    <definedName name="CalcProd1Seg3DCExpRenewal">calcSubscriptions!$E$359:$E$359</definedName>
    <definedName name="CalcProd1Seg3DefRev">calcSubscriptions!$E$226:$E$226</definedName>
    <definedName name="calcProd1Seg3DirectSalesSalaryExp">calcCLV!$E$140:$E$140</definedName>
    <definedName name="calcProd1Seg3MarketingExp">calcCLV!$E$139:$E$139</definedName>
    <definedName name="CalcProd1Seg3NewCOGS">calcSubscriptions!$E$191:$E$191</definedName>
    <definedName name="CalcProd1Seg3NewVolume">calcSubscriptions!$E$168:$E$168</definedName>
    <definedName name="calcProd1Seg3NonCloudCLV">calcCLV!$E$146:$E$146</definedName>
    <definedName name="CalcProd1Seg3NonCloudCOGS">calcSubscriptions!$E$214:$E$214</definedName>
    <definedName name="calcProd1Seg3NonCloudCostToServe">calcCLV!$E$136:$E$136</definedName>
    <definedName name="calcProd1Seg3NonCloudCustLifetime">calcCLV!$E$117:$E$117</definedName>
    <definedName name="CalcProd1Seg3NonCloudRenewalCOGSUnit">calcSubscriptions!$E$212:$E$212</definedName>
    <definedName name="CalcProd1Seg3NonCloudVolume">calcSubscriptions!$E$170:$E$170</definedName>
    <definedName name="calcProd1Seg3PartnerMMScore">calcEndingLevels!$E$273:$E$273</definedName>
    <definedName name="calcProd1Seg3PartnerSalaryExp">calcCLV!$E$141:$E$141</definedName>
    <definedName name="calcProd1Seg3Pct">calcConsumption!$E$81:$E$81</definedName>
    <definedName name="CalcProd1Seg3Price">calcSubscriptions!$E$175:$E$175</definedName>
    <definedName name="CalcProd1Seg3Prod1NewCOGSUnit">calcSubscriptions!$E$189:$E$189</definedName>
    <definedName name="CalcProd1Seg3RenewalCOGS">calcSubscriptions!$E$207:$E$207</definedName>
    <definedName name="CalcProd1Seg3RenewalVolume">calcSubscriptions!$E$169:$E$169</definedName>
    <definedName name="calcProd1Seg3ServicesSalaryExp">calcCLV!$E$122:$E$122</definedName>
    <definedName name="calcProd1Seg3TotalCLV">calcCLV!$E$147:$E$147</definedName>
    <definedName name="CalcProd1Seg3TotalVolume">calcSubscriptions!$E$171:$E$171</definedName>
    <definedName name="calcProd1TotalCLV">calcCLV!$E$293:$E$293</definedName>
    <definedName name="CalcProd2Seg1BaseCOGSPNewUnit">calcSubscriptions!$E$249:$E$249</definedName>
    <definedName name="CalcProd2Seg1BaseCOGSPRenewalUnit">calcSubscriptions!$E$265:$E$265</definedName>
    <definedName name="calcProd2Seg1CloudCostToServe">calcCLV!$E$166:$E$166</definedName>
    <definedName name="calcProd2Seg1CloudCustLifetime">calcCLV!$E$156:$E$156</definedName>
    <definedName name="calcProd2Seg1Consumption">calcConsumption!$E$54:$E$54</definedName>
    <definedName name="calcProd2Seg1CostToAcquire">calcCLV!$E$172:$E$172</definedName>
    <definedName name="CalcProd2Seg1DCExpNew">calcSubscriptions!$E$360:$E$360</definedName>
    <definedName name="CalcProd2Seg1DCExpRenewal">calcSubscriptions!$E$361:$E$361</definedName>
    <definedName name="CalcProd2Seg1DefRev">calcSubscriptions!$E$284:$E$284</definedName>
    <definedName name="calcProd2Seg1DirectSalesSalaryExp">calcCLV!$E$170:$E$170</definedName>
    <definedName name="calcProd2Seg1MarketingExp">calcCLV!$E$169:$E$169</definedName>
    <definedName name="CalcProd2Seg1NewCOGS">calcSubscriptions!$E$256:$E$256</definedName>
    <definedName name="CalcProd2Seg1NewCustomers">calcSubscriptions!$E$236:$E$236</definedName>
    <definedName name="CalcProd2Seg1NewVolume">calcSubscriptions!$E$231:$E$231</definedName>
    <definedName name="calcProd2Seg1PartnerMMScore">calcEndingLevels!$E$278:$E$278</definedName>
    <definedName name="calcProd2Seg1PartnerSalaryExp">calcCLV!$E$171:$E$171</definedName>
    <definedName name="calcProd2Seg1Pct">calcConsumption!$E$82:$E$82</definedName>
    <definedName name="CalcProd2Seg1Price">calcSubscriptions!$E$240:$E$240</definedName>
    <definedName name="CalcProd2Seg1Prod2NewCOGSUnit">calcSubscriptions!$E$254:$E$254</definedName>
    <definedName name="CalcProd2Seg1RenewalCOGS">calcSubscriptions!$E$272:$E$272</definedName>
    <definedName name="CalcProd2Seg1RenewalCOGSUnit">calcSubscriptions!$E$270:$E$270</definedName>
    <definedName name="CalcProd2Seg1RenewalCustomers">calcSubscriptions!$E$237:$E$237</definedName>
    <definedName name="CalcProd2Seg1RenewalVolume">calcSubscriptions!$E$232:$E$232</definedName>
    <definedName name="calcProd2Seg1ServicesSalaryExp">calcCLV!$E$161:$E$161</definedName>
    <definedName name="calcProd2Seg1TotalCLV">calcCLV!$E$175:$E$175</definedName>
    <definedName name="CalcProd2Seg1TotalCustomers">calcSubscriptions!$E$238:$E$238</definedName>
    <definedName name="CalcProd2Seg1TotalVolume">calcSubscriptions!$E$233:$E$233</definedName>
    <definedName name="CalcProd2Seg2BaseCOGSPNewUnit">calcSubscriptions!$E$308:$E$308</definedName>
    <definedName name="CalcProd2Seg2BaseCOGSPRenewalUnit">calcSubscriptions!$E$324:$E$324</definedName>
    <definedName name="calcProd2Seg2CloudCostToServe">calcCLV!$E$194:$E$194</definedName>
    <definedName name="calcProd2Seg2CloudCustLifetime">calcCLV!$E$184:$E$184</definedName>
    <definedName name="calcProd2Seg2Consumption">calcConsumption!$E$67:$E$67</definedName>
    <definedName name="calcProd2Seg2CostToAcquire">calcCLV!$E$200:$E$200</definedName>
    <definedName name="CalcProd2Seg2DCExpNew">calcSubscriptions!$E$362:$E$362</definedName>
    <definedName name="CalcProd2Seg2DCExpRenewal">calcSubscriptions!$E$363:$E$363</definedName>
    <definedName name="CalcProd2Seg2DefRev">calcSubscriptions!$E$343:$E$343</definedName>
    <definedName name="calcProd2Seg2DirectSalesSalaryExp">calcCLV!$E$198:$E$198</definedName>
    <definedName name="calcProd2Seg2MarketingExp">calcCLV!$E$197:$E$197</definedName>
    <definedName name="CalcProd2Seg2NewCOGS">calcSubscriptions!$E$315:$E$315</definedName>
    <definedName name="CalcProd2Seg2NewCustomers">calcSubscriptions!$E$295:$E$295</definedName>
    <definedName name="CalcProd2Seg2NewVolume">calcSubscriptions!$E$290:$E$290</definedName>
    <definedName name="calcProd2Seg2PartnerMMScore">calcEndingLevels!$E$283:$E$283</definedName>
    <definedName name="calcProd2Seg2PartnerSalaryExp">calcCLV!$E$199:$E$199</definedName>
    <definedName name="calcProd2Seg2Pct">calcConsumption!$E$83:$E$83</definedName>
    <definedName name="CalcProd2Seg2Price">calcSubscriptions!$E$299:$E$299</definedName>
    <definedName name="CalcProd2Seg2Prod2NewCOGSUnit">calcSubscriptions!$E$313:$E$313</definedName>
    <definedName name="CalcProd2Seg2RenewalCOGS">calcSubscriptions!$E$331:$E$331</definedName>
    <definedName name="CalcProd2Seg2RenewalCOGSUnit">calcSubscriptions!$E$329:$E$329</definedName>
    <definedName name="CalcProd2Seg2RenewalCustomers">calcSubscriptions!$E$296:$E$296</definedName>
    <definedName name="CalcProd2Seg2RenewalVolume">calcSubscriptions!$E$291:$E$291</definedName>
    <definedName name="calcProd2Seg2ServicesSalaryExp">calcCLV!$E$189:$E$189</definedName>
    <definedName name="calcProd2Seg2TotalCLV">calcCLV!$E$203:$E$203</definedName>
    <definedName name="CalcProd2Seg2TotalCustomers">calcSubscriptions!$E$297:$E$297</definedName>
    <definedName name="CalcProd2Seg2TotalVolume">calcSubscriptions!$E$292:$E$292</definedName>
    <definedName name="calcProd2TotalCLV">calcCLV!$E$294:$E$294</definedName>
    <definedName name="calcProd3Seg1BaseMatExp">calcUnits!$E$25:$E$25</definedName>
    <definedName name="calcProd3Seg1CloudCostToServe">calcCLV!$E$222:$E$222</definedName>
    <definedName name="calcProd3Seg1CloudCustLifetime">calcCLV!$E$212:$E$212</definedName>
    <definedName name="calcProd3Seg1COGSPUnit">calcUnits!$E$40:$E$40</definedName>
    <definedName name="calcProd3Seg1CostToAcquire">calcCLV!$E$228:$E$228</definedName>
    <definedName name="calcProd3Seg1DirectSalesSalaryExp">calcCLV!$E$226:$E$226</definedName>
    <definedName name="calcProd3Seg1EndingShare">calcUnits!$E$8:$E$8</definedName>
    <definedName name="calcProd3Seg1LaborExp">calcUnits!$E$33:$E$33</definedName>
    <definedName name="calcProd3Seg1MarketingExp">calcCLV!$E$225:$E$225</definedName>
    <definedName name="calcProd3Seg1MatExp">calcUnits!$E$28:$E$28</definedName>
    <definedName name="calcProd3Seg1MatExpCOGSPUnit">calcUnits!$E$25:$E$25</definedName>
    <definedName name="calcProd3Seg1NewUnits">calcUnits!$E$10:$E$10</definedName>
    <definedName name="calcProd3Seg1PartnerMMScore">calcEndingLevels!$E$288:$E$288</definedName>
    <definedName name="calcProd3Seg1PartnerSalaryExp">calcCLV!$E$227:$E$227</definedName>
    <definedName name="calcProd3Seg1Price">calcUnits!$E$12:$E$12</definedName>
    <definedName name="calcProd3Seg1Revenue">calcUnits!$E$14:$E$14</definedName>
    <definedName name="calcProd3Seg1ServicesSalaryExp">calcCLV!$E$217:$E$217</definedName>
    <definedName name="calcProd3Seg1TotalCLV">calcCLV!$E$231:$E$231</definedName>
    <definedName name="calcProd3Seg1TotalCOGS">calcUnits!$E$35:$E$35</definedName>
    <definedName name="calcProd3Seg2BaseMatExp">calcUnits!$E$62:$E$62</definedName>
    <definedName name="calcProd3Seg2CloudCostToServe">calcCLV!$E$250:$E$250</definedName>
    <definedName name="calcProd3Seg2CloudCustLifetime">calcCLV!$E$240:$E$240</definedName>
    <definedName name="calcProd3Seg2COGSPUnit">calcUnits!$E$77:$E$77</definedName>
    <definedName name="calcProd3Seg2CostToAcquire">calcCLV!$E$256:$E$256</definedName>
    <definedName name="calcProd3Seg2DirectSalesSalaryExp">calcCLV!$E$254:$E$254</definedName>
    <definedName name="calcProd3Seg2EndingShare">calcUnits!$E$45:$E$45</definedName>
    <definedName name="calcProd3Seg2LaborExp">calcUnits!$E$70:$E$70</definedName>
    <definedName name="calcProd3Seg2MarketingExp">calcCLV!$E$253:$E$253</definedName>
    <definedName name="calcProd3Seg2MatExp">calcUnits!$E$65:$E$65</definedName>
    <definedName name="calcProd3Seg2NewUnits">calcUnits!$E$47:$E$47</definedName>
    <definedName name="calcProd3Seg2PartnerMMScore">calcEndingLevels!$E$293:$E$293</definedName>
    <definedName name="calcProd3Seg2PartnerSalaryExp">calcCLV!$E$255:$E$255</definedName>
    <definedName name="calcProd3Seg2Price">calcUnits!$E$49:$E$49</definedName>
    <definedName name="calcProd3Seg2Revenue">calcUnits!$E$51:$E$51</definedName>
    <definedName name="calcProd3Seg2ServicesSalaryExp">calcCLV!$E$245:$E$245</definedName>
    <definedName name="calcProd3Seg2TotalCLV">calcCLV!$E$259:$E$259</definedName>
    <definedName name="calcProd3Seg2TotalCOGS">calcUnits!$E$72:$E$72</definedName>
    <definedName name="calcProd3Seg3BaseMatExp">calcUnits!$E$99:$E$99</definedName>
    <definedName name="calcProd3Seg3CloudCostToServe">calcCLV!$E$278:$E$278</definedName>
    <definedName name="calcProd3Seg3CloudCustLifetime">calcCLV!$E$268:$E$268</definedName>
    <definedName name="calcProd3Seg3COGSPUnit">calcUnits!$E$114:$E$114</definedName>
    <definedName name="calcProd3Seg3CostToAcquire">calcCLV!$E$284:$E$284</definedName>
    <definedName name="calcProd3Seg3DirectSalesSalaryExp">calcCLV!$E$282:$E$282</definedName>
    <definedName name="calcProd3Seg3EndingShare">calcUnits!$E$82:$E$82</definedName>
    <definedName name="calcProd3Seg3LaborExp">calcUnits!$E$107:$E$107</definedName>
    <definedName name="calcProd3Seg3MarketingExp">calcCLV!$E$281:$E$281</definedName>
    <definedName name="calcProd3Seg3MatExp">calcUnits!$E$102:$E$102</definedName>
    <definedName name="calcProd3Seg3NewUnits">calcUnits!$E$84:$E$84</definedName>
    <definedName name="calcProd3Seg3PartnerMMScore">calcEndingLevels!$E$298:$E$298</definedName>
    <definedName name="calcProd3Seg3PartnerSalaryExp">calcCLV!$E$283:$E$283</definedName>
    <definedName name="calcProd3Seg3Price">calcUnits!$E$86:$E$86</definedName>
    <definedName name="calcProd3Seg3Revenue">calcUnits!$E$88:$E$88</definedName>
    <definedName name="calcProd3Seg3ServicesSalaryExp">calcCLV!$E$273:$E$273</definedName>
    <definedName name="calcProd3Seg3TotalCLV">calcCLV!$E$287:$E$287</definedName>
    <definedName name="calcProd3Seg3TotalCOGS">calcUnits!$E$109:$E$109</definedName>
    <definedName name="calcProd3TotalCLV">calcCLV!$E$295:$E$295</definedName>
    <definedName name="calcRenRateProd1Seg1RenewalRateAdj">calcRenRate!$E$19:$O$19</definedName>
    <definedName name="calcRenRateProd1Seg1RenewalRateEnd">calcRenRate!$E$21:$O$21</definedName>
    <definedName name="calcRenRateProd1Seg2RenewalRateAdj">calcRenRate!$E$38:$O$38</definedName>
    <definedName name="calcRenRateProd1Seg2RenewalRateEnd">calcRenRate!$E$40:$O$40</definedName>
    <definedName name="calcRenRateProd1Seg3RenewalRateAdj">calcRenRate!$E$57:$O$57</definedName>
    <definedName name="calcRenRateProd1Seg3RenewalRateEnd">calcRenRate!$E$59:$O$59</definedName>
    <definedName name="calcRenRateProd2Seg1RenewalRateAdj">calcRenRate!$E$76:$O$76</definedName>
    <definedName name="calcRenRateProd2Seg1RenewalRateEnd">calcRenRate!$E$78:$O$78</definedName>
    <definedName name="calcRenRateProd2Seg2RenewalRateAdj">calcRenRate!$E$96:$O$96</definedName>
    <definedName name="calcRenRateProd2Seg2RenewalRateEnd">calcRenRate!$E$98:$O$98</definedName>
    <definedName name="calcSeg1DirectSalesforceMMScore">calcEndingLevels!$E$305:$E$305</definedName>
    <definedName name="calcSeg1TotalCLV">calcCLV!$E$299:$E$299</definedName>
    <definedName name="calcSeg2DirectSalesforceMMScore">calcEndingLevels!$E$311:$E$311</definedName>
    <definedName name="calcSeg2TotalCLV">calcCLV!$E$300:$E$300</definedName>
    <definedName name="calcSeg3DirectSalesforceMMScore">calcEndingLevels!$E$315:$E$315</definedName>
    <definedName name="calcSeg3TotalCLV">calcCLV!$E$301:$E$301</definedName>
    <definedName name="calcServicesProd1Seg1Attach">calcService!$E$17:$E$17</definedName>
    <definedName name="calcServicesProd1Seg1AttachAdj">calcService!$E$15:$E$15</definedName>
    <definedName name="calcServicesProd1Seg1NewCOGS">calcService!$E$34:$E$34</definedName>
    <definedName name="calcServicesProd1Seg1NewCOGSPContract">calcService!$E$32:$E$32</definedName>
    <definedName name="calcServicesProd1Seg1NewContracts">calcService!$E$23:$E$23</definedName>
    <definedName name="calcServicesProd1Seg1NewRev">calcService!$E$27:$E$27</definedName>
    <definedName name="calcServicesProd1Seg1Renewal">calcService!$E$46:$E$46</definedName>
    <definedName name="calcServicesProd1Seg1RenewalAdj">calcService!$E$44:$E$44</definedName>
    <definedName name="calcServicesProd1Seg1RenewalCOGS">calcService!$E$64:$E$64</definedName>
    <definedName name="calcServicesProd1Seg1RenewalCOGSPContract">calcService!$E$62:$E$62</definedName>
    <definedName name="calcServicesProd1Seg1RenewalContracts">calcService!$E$52:$E$52</definedName>
    <definedName name="calcServicesProd1Seg1RenewalRev">calcService!$E$56:$E$56</definedName>
    <definedName name="calcServicesProd1Seg1TotalCOGS">calcService!$E$74:$E$74</definedName>
    <definedName name="calcServicesProd1Seg1TotalRev">calcService!$E$69:$E$69</definedName>
    <definedName name="calcServicesProd1Seg2Attach">calcService!$E$89:$E$89</definedName>
    <definedName name="calcServicesProd1Seg2AttachAdj">calcService!$E$87:$E$87</definedName>
    <definedName name="calcServicesProd1Seg2NewCOGS">calcService!$E$106:$E$106</definedName>
    <definedName name="calcServicesProd1Seg2NewCOGSPContract">calcService!$E$104:$E$104</definedName>
    <definedName name="calcServicesProd1Seg2NewContracts">calcService!$E$95:$E$95</definedName>
    <definedName name="calcServicesProd1Seg2NewRev">calcService!$E$99:$E$99</definedName>
    <definedName name="calcServicesProd1Seg2Renewal">calcService!$E$118:$E$118</definedName>
    <definedName name="calcServicesProd1Seg2RenewalAdj">calcService!$E$116:$E$116</definedName>
    <definedName name="calcServicesProd1Seg2RenewalCOGS">calcService!$E$136:$E$136</definedName>
    <definedName name="calcServicesProd1Seg2RenewalCOGSPContract">calcService!$E$134:$E$134</definedName>
    <definedName name="calcServicesProd1Seg2RenewalContracts">calcService!$E$124:$E$124</definedName>
    <definedName name="calcServicesProd1Seg2RenewalRev">calcService!$E$128:$E$128</definedName>
    <definedName name="calcServicesProd1Seg2TotalCOGS">calcService!$E$146:$E$146</definedName>
    <definedName name="calcServicesProd1Seg2TotalRev">calcService!$E$141:$E$141</definedName>
    <definedName name="calcServicesProd2Seg1Attach">calcService!$E$161:$E$161</definedName>
    <definedName name="calcServicesProd2Seg1AttachAdj">calcService!$E$159:$E$159</definedName>
    <definedName name="calcServicesProd2Seg1NewCOGS">calcService!$E$178:$E$178</definedName>
    <definedName name="calcServicesProd2Seg1NewCOGSPContract">calcService!$E$176:$E$176</definedName>
    <definedName name="calcServicesProd2Seg1NewContracts">calcService!$E$167:$E$167</definedName>
    <definedName name="calcServicesProd2Seg1NewRev">calcService!$E$171:$E$171</definedName>
    <definedName name="calcServicesProd2Seg1Renewal">calcService!$E$190:$E$190</definedName>
    <definedName name="calcServicesProd2Seg1RenewalAdj">calcService!$E$188:$E$188</definedName>
    <definedName name="calcServicesProd2Seg1RenewalCOGS">calcService!$E$208:$E$208</definedName>
    <definedName name="calcServicesProd2Seg1RenewalCOGSPContract">calcService!$E$206:$E$206</definedName>
    <definedName name="calcServicesProd2Seg1RenewalContracts">calcService!$E$196:$E$196</definedName>
    <definedName name="calcServicesProd2Seg1RenewalRev">calcService!$E$200:$E$200</definedName>
    <definedName name="calcServicesProd2Seg1TotalCOGS">calcService!$E$218:$E$218</definedName>
    <definedName name="calcServicesProd2Seg1TotalRev">calcService!$E$213:$E$213</definedName>
    <definedName name="calcServicesProd2Seg2Attach">calcService!$E$233:$E$233</definedName>
    <definedName name="calcServicesProd2Seg2AttachAdj">calcService!$E$231:$E$231</definedName>
    <definedName name="calcServicesProd2Seg2NewCOGS">calcService!$E$250:$E$250</definedName>
    <definedName name="calcServicesProd2Seg2NewCOGSPContract">calcService!$E$248:$E$248</definedName>
    <definedName name="calcServicesProd2Seg2NewContracts">calcService!$E$239:$E$239</definedName>
    <definedName name="calcServicesProd2Seg2NewRev">calcService!$E$243:$E$243</definedName>
    <definedName name="calcServicesProd2Seg2Renewal">calcService!$E$262:$E$262</definedName>
    <definedName name="calcServicesProd2Seg2RenewalAdj">calcService!$E$260:$E$260</definedName>
    <definedName name="calcServicesProd2Seg2RenewalCOGS">calcService!$E$280:$E$280</definedName>
    <definedName name="calcServicesProd2Seg2RenewalCOGSPContract">calcService!$E$278:$E$278</definedName>
    <definedName name="calcServicesProd2Seg2RenewalContracts">calcService!$E$268:$E$268</definedName>
    <definedName name="calcServicesProd2Seg2RenewalRev">calcService!$E$272:$E$272</definedName>
    <definedName name="calcServicesProd2Seg2TotalCOGS">calcService!$E$290:$E$290</definedName>
    <definedName name="calcServicesProd2Seg2TotalRev">calcService!$E$285:$E$285</definedName>
    <definedName name="CalcTotalCloudSubs">calcSubscriptions!$E$372:$E$372</definedName>
    <definedName name="calcTotalCLV">calcCLV!$E$296:$E$296</definedName>
    <definedName name="calcTotalCollabFTEs">calcCollabIntReadiness!$E$7:$E$7</definedName>
    <definedName name="CalcTotalDCExp">calcSubscriptions!$E$351:$E$351</definedName>
    <definedName name="calcTotalFTEs">calcFTEsExpenses!$E$26:$E$26</definedName>
    <definedName name="CalcTotalSubs">calcSubscriptions!$E$379:$E$379</definedName>
    <definedName name="calcWHI">calcWHI!$E$92:$N$92</definedName>
    <definedName name="CalibrateAdj">adj!$E$2:$N$2</definedName>
    <definedName name="CalibrateBalancing">Balancing!$E$2:$N$2</definedName>
    <definedName name="CalibrateCbal">Cbal!$E$2:$N$2</definedName>
    <definedName name="CalibrateCLV">calcCLV!$E$2:$E$2</definedName>
    <definedName name="CalibrateCollabIntReadiness">calcCollabIntReadiness!$E$2:$E$2</definedName>
    <definedName name="CalibrateConsumption">calcConsumption!$E$2:$E$2</definedName>
    <definedName name="CalibrateCPE">calcCPA!$E$2:$N$2</definedName>
    <definedName name="CalibrateCustSuccess">calcCustSuccess!$E$2:$E$2</definedName>
    <definedName name="CalibrateDataCenter">calcDataCenter!$E$2:$N$2</definedName>
    <definedName name="CalibrateDec">Dec!$E$2:$E$2</definedName>
    <definedName name="CalibrateEndingLevels">calcEndingLevels!$E$2:$E$2</definedName>
    <definedName name="CalibrateExecution">calcExecution!$E$2:$N$2</definedName>
    <definedName name="CalibrateFinPNL">FinPNL!$E$2:$N$2</definedName>
    <definedName name="CalibrateFTEsExpenses">calcFTEsExpenses!$E$2:$E$2</definedName>
    <definedName name="CalibrateMMCompetitor">mmCompetitorData!$E$2:$O$2</definedName>
    <definedName name="CalibrateObal">Obal!$E$2:$N$2</definedName>
    <definedName name="CalibrateParam">param!$E$2:$N$2</definedName>
    <definedName name="CalibrateRenRate">calcRenRate!$E$2:$N$2</definedName>
    <definedName name="CalibrateServices">calcService!$E$2:$E$2</definedName>
    <definedName name="CalibrateSubscriptions">calcSubscriptions!$E$2:$E$2</definedName>
    <definedName name="CalibrateUnits">calcUnits!$E$2:$E$2</definedName>
    <definedName name="CalibrateWHI">calcWHI!$E$2:$N$2</definedName>
    <definedName name="CalibrateWobblers">calcWobbler!$E$2:$N$2</definedName>
    <definedName name="cbal_Paste">Cbal!$E$6:$N$6</definedName>
    <definedName name="cbalAvgConsumption">Cbal!$E$187:$N$187</definedName>
    <definedName name="cbalAvgRenRate">Cbal!$E$196:$N$196</definedName>
    <definedName name="cbalCloudAdoption">Cbal!$E$178:$N$178</definedName>
    <definedName name="cbalCollab">Cbal!$E$261:$N$261</definedName>
    <definedName name="cbalCommercialDirectSalesFTEs">Cbal!$E$73:$N$73</definedName>
    <definedName name="cbalCommercialInsideSalesFTEs">Cbal!$E$74:$N$74</definedName>
    <definedName name="cbalCommercialPartner1Budget">Cbal!$E$97:$N$97</definedName>
    <definedName name="cbalCommercialPartner1FTEs">Cbal!$E$103:$N$103</definedName>
    <definedName name="cbalCommercialPartner1Pct">Cbal!$E$91:$N$91</definedName>
    <definedName name="cbalCommercialPartner2Budget">Cbal!$E$98:$N$98</definedName>
    <definedName name="cbalCommercialPartner2FTEs">Cbal!$E$104:$N$104</definedName>
    <definedName name="cbalCommercialPartner2Pct">Cbal!$E$92:$N$92</definedName>
    <definedName name="cbalCommercialPartner3Budget">Cbal!$E$99:$N$99</definedName>
    <definedName name="cbalCommercialPartner3FTEs">Cbal!$E$105:$N$105</definedName>
    <definedName name="cbalCommercialPartner3Pct">Cbal!$E$93:$N$93</definedName>
    <definedName name="cbalCommercialPartner4Budget">Cbal!$E$100:$N$100</definedName>
    <definedName name="cbalCommercialPartner4FTEs">Cbal!$E$106:$N$106</definedName>
    <definedName name="cbalCommercialPartner4Pct">Cbal!$E$94:$N$94</definedName>
    <definedName name="cbalCommercialPartnerDevelopment">Cbal!$E$87:$N$87</definedName>
    <definedName name="cbalCommercialPartnerEducation">Cbal!$E$89:$N$89</definedName>
    <definedName name="cbalCommercialPartnerIncentives">Cbal!$E$88:$N$88</definedName>
    <definedName name="cbalCommercialProd1Marketing">Cbal!$E$83:$N$83</definedName>
    <definedName name="cbalCommercialProd1MarketingPct">Cbal!$E$78:$N$78</definedName>
    <definedName name="cbalCommercialProd1Price">Cbal!$E$65:$N$65</definedName>
    <definedName name="cbalCommercialProd2Marketing">Cbal!$E$84:$N$84</definedName>
    <definedName name="cbalCommercialProd2MarketingPct">Cbal!$E$79:$N$79</definedName>
    <definedName name="cbalCommercialProd2Price">Cbal!$E$66:$N$66</definedName>
    <definedName name="cbalCommercialProd3Marketing">Cbal!$E$85:$N$85</definedName>
    <definedName name="cbalCommercialProd3MarketingPct">Cbal!$E$80:$N$80</definedName>
    <definedName name="cbalCommercialProd3Price">Cbal!$E$67:$N$67</definedName>
    <definedName name="cbalCommercialServicesFTEs">Cbal!$E$75:$N$75</definedName>
    <definedName name="cbalCommercialSkill1">Cbal!$E$69:$N$69</definedName>
    <definedName name="cbalCommercialSkill2">Cbal!$E$70:$N$70</definedName>
    <definedName name="cbalCommercialSkill3">Cbal!$E$71:$N$71</definedName>
    <definedName name="cbalCommercialTotalMarketing">Cbal!$E$82:$N$82</definedName>
    <definedName name="cbalCommercialTotalMarketingPct">Cbal!$E$77:$N$77</definedName>
    <definedName name="cbalCommercialTotalPartnerBudget">Cbal!$E$96:$N$96</definedName>
    <definedName name="cbalCommercialTotalPartnerFTEs">Cbal!$E$102:$N$102</definedName>
    <definedName name="cbalConsumerDirectSalesFTEs">Cbal!$E$115:$N$115</definedName>
    <definedName name="cbalConsumerInsideSalesFTEs">Cbal!$E$116:$N$116</definedName>
    <definedName name="cbalConsumerPartner4Budget">Cbal!$E$136:$N$136</definedName>
    <definedName name="cbalConsumerPartner4FTEs">Cbal!$E$141:$N$141</definedName>
    <definedName name="cbalConsumerPartner4Pct">Cbal!$E$131:$N$131</definedName>
    <definedName name="cbalConsumerPartner5Budget">Cbal!$E$137:$N$137</definedName>
    <definedName name="cbalConsumerPartner5FTEs">Cbal!$E$142:$N$142</definedName>
    <definedName name="cbalConsumerPartner5Pct">Cbal!$E$132:$N$132</definedName>
    <definedName name="cbalConsumerPartner6Budget">Cbal!$E$138:$N$138</definedName>
    <definedName name="cbalConsumerPartner6FTEs">Cbal!$E$143:$N$143</definedName>
    <definedName name="cbalConsumerPartner6Pct">Cbal!$E$133:$N$133</definedName>
    <definedName name="cbalConsumerPartnerDevelopment">Cbal!$E$127:$N$127</definedName>
    <definedName name="cbalConsumerPartnerEducation">Cbal!$E$129:$N$129</definedName>
    <definedName name="cbalConsumerPartnerIncentives">Cbal!$E$128:$N$128</definedName>
    <definedName name="cbalConsumerProd1Marketing">Cbal!$E$124:$N$124</definedName>
    <definedName name="cbalConsumerProd1MarketingPct">Cbal!$E$120:$N$120</definedName>
    <definedName name="cbalConsumerProd1Price">Cbal!$E$109:$N$109</definedName>
    <definedName name="cbalConsumerProd3Marketing">Cbal!$E$125:$N$125</definedName>
    <definedName name="cbalConsumerProd3MarketingPct">Cbal!$E$121:$N$121</definedName>
    <definedName name="cbalConsumerProd3Price">Cbal!$E$110:$N$110</definedName>
    <definedName name="cbalConsumerServicesFTEs">Cbal!$E$117:$N$117</definedName>
    <definedName name="cbalConsumerSkill1">Cbal!$E$112:$N$112</definedName>
    <definedName name="cbalConsumerSkill2">Cbal!$E$113:$N$113</definedName>
    <definedName name="cbalConsumerTotalMarketing">Cbal!$E$123:$N$123</definedName>
    <definedName name="cbalConsumerTotalMarketingPct">Cbal!$E$119:$N$119</definedName>
    <definedName name="cbalConsumerTotalPartnerBudget">Cbal!$E$135:$N$135</definedName>
    <definedName name="cbalConsumerTotalPartnerFTEs">Cbal!$E$140:$N$140</definedName>
    <definedName name="cbalCPE">Cbal!$E$260:$N$260</definedName>
    <definedName name="cbalCustSuccess">Cbal!$E$250:$N$250</definedName>
    <definedName name="cbalCustSuccessCSAT">Cbal!$E$248:$N$248</definedName>
    <definedName name="cbalCustSuccessEE">Cbal!$E$249:$N$249</definedName>
    <definedName name="cbalCustSuccessOpMargin">Cbal!$E$247:$N$247</definedName>
    <definedName name="cbalCustSuccessRev">Cbal!$E$246:$N$246</definedName>
    <definedName name="cbalEGInteroperability">Cbal!$E$40:$N$40</definedName>
    <definedName name="cbalEGInteroperabilityDec">Cbal!$E$53:$N$53</definedName>
    <definedName name="cbalEGProd1Offering1">Cbal!$E$42:$N$42</definedName>
    <definedName name="cbalEGProd1Offering1Dec">Cbal!$E$55:$N$55</definedName>
    <definedName name="cbalEGProd1Offering2">Cbal!$E$43:$N$43</definedName>
    <definedName name="cbalEGProd1Offering2Dec">Cbal!$E$56:$N$56</definedName>
    <definedName name="cbalEGProd2Offering1">Cbal!$E$45:$N$45</definedName>
    <definedName name="cbalEGProd2Offering1Dec">Cbal!$E$58:$N$58</definedName>
    <definedName name="cbalEGProd2Offering2">Cbal!$E$46:$N$46</definedName>
    <definedName name="cbalEGProd2Offering2Dec">Cbal!$E$59:$N$59</definedName>
    <definedName name="cbalEGProd3Offering1">Cbal!$E$48:$N$48</definedName>
    <definedName name="cbalEGProd3Offering1Dec">Cbal!$E$61:$N$61</definedName>
    <definedName name="cbalEGProd3Offering2">Cbal!$E$49:$N$49</definedName>
    <definedName name="cbalEGProd3Offering2Dec">Cbal!$E$62:$N$62</definedName>
    <definedName name="cbalEGScalability">Cbal!$E$39:$N$39</definedName>
    <definedName name="cbalEGScalabilityDec">Cbal!$E$52:$N$52</definedName>
    <definedName name="cbalEGSecurity">Cbal!$E$38:$N$38</definedName>
    <definedName name="cbalEGSecurityDec">Cbal!$E$51:$N$51</definedName>
    <definedName name="cbalETUs">Cbal!$E$13:$N$13</definedName>
    <definedName name="cbalExecution">Cbal!$E$11:$N$11</definedName>
    <definedName name="cbalHeadcount">Cbal!$E$10:$N$10</definedName>
    <definedName name="cbalInternalReadiness">Cbal!$E$262:$N$262</definedName>
    <definedName name="cbalNewHireProductivity">Cbal!$E$12:$N$12</definedName>
    <definedName name="cbalOpsCollabFTEs">Cbal!$E$27:$N$27</definedName>
    <definedName name="cbalOpsDataCenter">Cbal!$E$33:$N$33</definedName>
    <definedName name="cbalOpsDataCenterUtilization">Cbal!$E$35:$N$35</definedName>
    <definedName name="cbalOpsGlobalDemandCenterFTEs">Cbal!$E$30:$N$30</definedName>
    <definedName name="cbalOpsITFTEs">Cbal!$E$29:$N$29</definedName>
    <definedName name="cbalOpsProd1Seg1Share">Cbal!$E$16:$N$16</definedName>
    <definedName name="cbalOpsProd1Seg2Share">Cbal!$E$17:$N$17</definedName>
    <definedName name="cbalOpsProd1Seg3Share">Cbal!$E$18:$N$18</definedName>
    <definedName name="cbalOpsProd2Seg1Share">Cbal!$E$19:$N$19</definedName>
    <definedName name="cbalOpsProd2Seg2Share">Cbal!$E$20:$N$20</definedName>
    <definedName name="cbalOpsProd3Seg1Share">Cbal!$E$21:$N$21</definedName>
    <definedName name="cbalOpsProd3Seg2Share">Cbal!$E$22:$N$22</definedName>
    <definedName name="cbalOpsProd3Seg3Share">Cbal!$E$23:$N$23</definedName>
    <definedName name="cbalOpsSupplyChainFTEs">Cbal!$E$31:$N$31</definedName>
    <definedName name="cbalOpsTotalMarketing">Cbal!$E$25:$N$25</definedName>
    <definedName name="cbalPartner1Pct">Cbal!$E$72:$N$72</definedName>
    <definedName name="cbalPartner2Pct">Cbal!$E$73:$N$73</definedName>
    <definedName name="cbalPartner3Pct">Cbal!$E$74:$N$74</definedName>
    <definedName name="cbalPartner5Pct">Cbal!$E$107:$N$107</definedName>
    <definedName name="cbalPartner6Pct">Cbal!$E$108:$N$108</definedName>
    <definedName name="cbalProd1BaseNewCOGS">Cbal!$E$199:$N$199</definedName>
    <definedName name="cbalProd1BaseRenewalCOGS">Cbal!$E$200:$N$200</definedName>
    <definedName name="cbalProd1Seg1CloudAdoption">Cbal!$E$174:$N$174</definedName>
    <definedName name="cbalProd1Seg1Consumption">Cbal!$E$181:$N$181</definedName>
    <definedName name="cbalProd1Seg1DefRev">Cbal!$E$224:$N$224</definedName>
    <definedName name="cbalProd1Seg1NewCustomers">Cbal!$E$207:$N$207</definedName>
    <definedName name="cbalProd1Seg1NewSubs">Cbal!$E$146:$N$146</definedName>
    <definedName name="cbalProd1Seg1NonCloudSubs">Cbal!$E$169:$N$169</definedName>
    <definedName name="cbalProd1Seg1RenewedCustomers">Cbal!$E$208:$N$208</definedName>
    <definedName name="cbalProd1Seg1RenewedSubs">Cbal!$E$147:$N$147</definedName>
    <definedName name="cbalProd1Seg1RenRate">Cbal!$E$190:$N$190</definedName>
    <definedName name="cbalProd1Seg1ServicesAttachRate">Cbal!$E$232:$N$232</definedName>
    <definedName name="cbalProd1Seg1ServicesRenRate">Cbal!$E$239:$N$239</definedName>
    <definedName name="cbalProd1Seg1TotalCustomers">Cbal!$E$209:$N$209</definedName>
    <definedName name="cbalProd1Seg1TotalSubs">Cbal!$E$148:$N$148</definedName>
    <definedName name="cbalProd1Seg2CloudAdoption">Cbal!$E$175:$N$175</definedName>
    <definedName name="cbalProd1Seg2Consumption">Cbal!$E$182:$N$182</definedName>
    <definedName name="cbalProd1Seg2DefRev">Cbal!$E$225:$N$225</definedName>
    <definedName name="cbalProd1Seg2NewCustomers">Cbal!$E$211:$N$211</definedName>
    <definedName name="cbalProd1Seg2NewSubs">Cbal!$E$150:$N$150</definedName>
    <definedName name="cbalProd1Seg2NonCloudSubs">Cbal!$E$170:$N$170</definedName>
    <definedName name="cbalProd1Seg2RenewedCustomers">Cbal!$E$212:$N$212</definedName>
    <definedName name="cbalProd1Seg2RenewedSubs">Cbal!$E$151:$N$151</definedName>
    <definedName name="cbalProd1Seg2RenRate">Cbal!$E$191:$N$191</definedName>
    <definedName name="cbalProd1Seg2ServicesAttachRate">Cbal!$E$233:$N$233</definedName>
    <definedName name="cbalProd1Seg2ServicesRenRate">Cbal!$E$240:$N$240</definedName>
    <definedName name="cbalProd1Seg2TotalCustomers">Cbal!$E$213:$N$213</definedName>
    <definedName name="cbalProd1Seg2TotalSubs">Cbal!$E$152:$N$152</definedName>
    <definedName name="cbalProd1Seg3CloudAdoption">Cbal!$E$176:$N$176</definedName>
    <definedName name="cbalProd1Seg3Consumption">Cbal!$E$183:$N$183</definedName>
    <definedName name="cbalProd1Seg3DefRev">Cbal!$E$226:$N$226</definedName>
    <definedName name="cbalProd1Seg3NewSubs">Cbal!$E$154:$N$154</definedName>
    <definedName name="cbalProd1Seg3NonCloudSubs">Cbal!$E$171:$N$171</definedName>
    <definedName name="cbalProd1Seg3RenewedSubs">Cbal!$E$155:$N$155</definedName>
    <definedName name="cbalProd1Seg3RenRate">Cbal!$E$192:$N$192</definedName>
    <definedName name="cbalProd1Seg3TotalSubs">Cbal!$E$156:$N$156</definedName>
    <definedName name="cbalProd1TotalCLV">Cbal!$E$253:$N$253</definedName>
    <definedName name="cbalProd2BaseNewCOGS">Cbal!$E$201:$N$201</definedName>
    <definedName name="cbalProd2BaseRenewalCOGS">Cbal!$E$202:$N$202</definedName>
    <definedName name="cbalProd2Seg1Consumption">Cbal!$E$184:$N$184</definedName>
    <definedName name="cbalProd2Seg1DefRev">Cbal!$E$228:$N$228</definedName>
    <definedName name="cbalProd2Seg1NewCustomers">Cbal!$E$215:$N$215</definedName>
    <definedName name="cbalProd2Seg1NewSubs">Cbal!$E$158:$N$158</definedName>
    <definedName name="cbalProd2Seg1RenewedCustomers">Cbal!$E$216:$N$216</definedName>
    <definedName name="cbalProd2Seg1RenewedSubs">Cbal!$E$159:$N$159</definedName>
    <definedName name="cbalProd2Seg1RenRate">Cbal!$E$193:$N$193</definedName>
    <definedName name="cbalProd2Seg1ServicesAttachRate">Cbal!$E$235:$N$235</definedName>
    <definedName name="cbalProd2Seg1ServicesRenRate">Cbal!$E$242:$N$242</definedName>
    <definedName name="cbalProd2Seg1TotalCustomers">Cbal!$E$217:$N$217</definedName>
    <definedName name="cbalProd2Seg1TotalSubs">Cbal!$E$160:$N$160</definedName>
    <definedName name="cbalProd2Seg2Consumption">Cbal!$E$185:$N$185</definedName>
    <definedName name="cbalProd2Seg2DefRev">Cbal!$E$229:$N$229</definedName>
    <definedName name="cbalProd2Seg2NewCustomers">Cbal!$E$219:$N$219</definedName>
    <definedName name="cbalProd2Seg2NewSubs">Cbal!$E$162:$N$162</definedName>
    <definedName name="cbalProd2Seg2RenewedCustomers">Cbal!$E$220:$N$220</definedName>
    <definedName name="cbalProd2Seg2RenewedSubs">Cbal!$E$163:$N$163</definedName>
    <definedName name="cbalProd2Seg2RenRate">Cbal!$E$194:$N$194</definedName>
    <definedName name="cbalProd2Seg2ServicesAttachRate">Cbal!$E$236:$N$236</definedName>
    <definedName name="cbalProd2Seg2ServicesRenRate">Cbal!$E$243:$N$243</definedName>
    <definedName name="cbalProd2Seg2TotalCustomers">Cbal!$E$221:$N$221</definedName>
    <definedName name="cbalProd2Seg2TotalSubs">Cbal!$E$164:$N$164</definedName>
    <definedName name="cbalProd2TotalCLV">Cbal!$E$254:$N$254</definedName>
    <definedName name="cbalProd3BaseLaborCOGS">Cbal!$E$204:$N$204</definedName>
    <definedName name="cbalProd3BaseMatCOGS">Cbal!$E$203:$N$203</definedName>
    <definedName name="cbalProd3TotalCLV">Cbal!$E$255:$N$255</definedName>
    <definedName name="cbalTotalCloudSubs">Cbal!$E$166:$N$166</definedName>
    <definedName name="cbalTotalCLV">Cbal!$E$256:$N$256</definedName>
    <definedName name="cbalTotalRev">Cbal!$E$263:$N$263</definedName>
    <definedName name="cbalTotalRevGrowth">Cbal!$E$264:$N$264</definedName>
    <definedName name="cbalTotalScore">Cbal!$E$265:$N$265</definedName>
    <definedName name="cbalWHI">Cbal!$E$259:$N$259</definedName>
    <definedName name="cbalWobbler1R1">Cbal!$E$268:$N$268</definedName>
    <definedName name="cbalWobbler1R2">Cbal!$E$276:$N$276</definedName>
    <definedName name="cbalWobbler1R3">Cbal!$E$283:$N$283</definedName>
    <definedName name="cbalWobbler2R1">Cbal!$E$269:$N$269</definedName>
    <definedName name="cbalWobbler2R2">Cbal!$E$277:$N$277</definedName>
    <definedName name="cbalWobbler2R3">Cbal!$E$284:$N$284</definedName>
    <definedName name="cbalWobbler3R1">Cbal!$E$270:$N$270</definedName>
    <definedName name="cbalWobbler3R2">Cbal!$E$278:$N$278</definedName>
    <definedName name="cbalWobbler3R3">Cbal!$E$285:$N$285</definedName>
    <definedName name="cbalWobbler4R1">Cbal!$E$271:$N$271</definedName>
    <definedName name="cbalWobbler4R2">Cbal!$E$279:$N$279</definedName>
    <definedName name="cbalWobbler4R3">Cbal!$E$286:$N$286</definedName>
    <definedName name="cbalWobbler5R1">Cbal!$E$272:$N$272</definedName>
    <definedName name="cbalWobbler5R2">Cbal!$E$280:$N$280</definedName>
    <definedName name="cbalWobbler5R3">Cbal!$E$287:$N$287</definedName>
    <definedName name="cbalWobbler6R1">Cbal!$E$273:$N$273</definedName>
    <definedName name="cbalWobbler6R2">Cbal!$E$281:$N$281</definedName>
    <definedName name="cbalWobbler6R3">Cbal!$E$288:$N$288</definedName>
    <definedName name="cbalWobbler7R1">Cbal!$E$274:$N$274</definedName>
    <definedName name="cbalWobbler7R2">Cbal!$E$282:$N$282</definedName>
    <definedName name="cbalWobbler7R3">Cbal!$E$289:$N$289</definedName>
    <definedName name="cbalWobbler8R1">Cbal!$E$275:$N$275</definedName>
    <definedName name="ClearAdjRange1">ClearAdj!$C$21</definedName>
    <definedName name="ClearAdjRange10">ClearAdj!$C$39</definedName>
    <definedName name="ClearAdjRange11">ClearAdj!$C$41</definedName>
    <definedName name="ClearAdjRange12">ClearAdj!$C$43</definedName>
    <definedName name="ClearAdjRange13">ClearAdj!$C$45</definedName>
    <definedName name="ClearAdjRange14">ClearAdj!$C$47</definedName>
    <definedName name="ClearAdjRange15">ClearAdj!$C$49</definedName>
    <definedName name="ClearAdjRange16">ClearAdj!$C$51</definedName>
    <definedName name="ClearAdjRange17">ClearAdj!$C$53</definedName>
    <definedName name="ClearAdjRange18">ClearAdj!$C$55</definedName>
    <definedName name="ClearAdjRange19">ClearAdj!$C$57</definedName>
    <definedName name="ClearAdjRange2">ClearAdj!$C$23</definedName>
    <definedName name="ClearAdjRange20">ClearAdj!$C$59</definedName>
    <definedName name="ClearAdjRange21">ClearAdj!$C$61</definedName>
    <definedName name="ClearAdjRange22">ClearAdj!$C$63</definedName>
    <definedName name="ClearAdjRange23">ClearAdj!$C$65</definedName>
    <definedName name="ClearAdjRange24">ClearAdj!$C$67</definedName>
    <definedName name="ClearAdjRange25">ClearAdj!$C$69</definedName>
    <definedName name="ClearAdjRange26">ClearAdj!$C$71</definedName>
    <definedName name="ClearAdjRange3">ClearAdj!$C$25</definedName>
    <definedName name="ClearAdjRange4">ClearAdj!$C$27</definedName>
    <definedName name="ClearAdjRange5">ClearAdj!$C$29</definedName>
    <definedName name="ClearAdjRange6">ClearAdj!$C$31</definedName>
    <definedName name="ClearAdjRange7">ClearAdj!$C$33</definedName>
    <definedName name="ClearAdjRange8">ClearAdj!$C$35</definedName>
    <definedName name="ClearAdjRange9">ClearAdj!$C$37</definedName>
    <definedName name="ClearDecisionsLabelsCopy">Dec!$B$4:$D$122</definedName>
    <definedName name="cnstComma">PopUp!$E$69</definedName>
    <definedName name="cnstDoubleQuote">PopUp!$E$68</definedName>
    <definedName name="cnstMillion">Glossary!$D$5</definedName>
    <definedName name="cnstSingleQuote">PopUp!$E$67</definedName>
    <definedName name="CommercialWCBDeselectedButton">Navigation!$C$13</definedName>
    <definedName name="CommercialWCBRange1">Navigation!$C$17</definedName>
    <definedName name="CommercialWCBRange2">Navigation!$C$19</definedName>
    <definedName name="CommercialWCBRange4">Navigation!$C$21</definedName>
    <definedName name="CommercialWCBRange5">Navigation!$C$23</definedName>
    <definedName name="CommercialWCBSelectedButton">Navigation!$C$14</definedName>
    <definedName name="CommercialWCBTotalButtons">Navigation!$C$11</definedName>
    <definedName name="ConsumerMCBDeselectedButton">Navigation!$C$33</definedName>
    <definedName name="ConsumerMCBRange1">Navigation!$C$37</definedName>
    <definedName name="ConsumerMCBRange2">Navigation!$C$39</definedName>
    <definedName name="ConsumerMCBRange4">Navigation!$C$41</definedName>
    <definedName name="ConsumerMCBSelectedButton">Navigation!$C$34</definedName>
    <definedName name="ConsumerMCBTotalButtons">Navigation!$C$31</definedName>
    <definedName name="core_FilePrefix">Controls!$D$5</definedName>
    <definedName name="D76tlOutputCommercialLabelResource1">tlInputCommercial!$D$82</definedName>
    <definedName name="D76tlOutputCommercialLabelResource2">tlInputCommercial!$H$82</definedName>
    <definedName name="D76tlOutputCommercialLabelResource3">tlInputCommercial!$L$82</definedName>
    <definedName name="dataList0to100">Data!$E$341:$E$361</definedName>
    <definedName name="dataList0to100Pct">Data!$E$288:$E$308</definedName>
    <definedName name="dataList0to15Pct">Data!$G$288:$G$303</definedName>
    <definedName name="datalist0to5">Data!$C$222:$C$227</definedName>
    <definedName name="dataList0to500">Data!$C$341:$C$441</definedName>
    <definedName name="dataList0to50Pct">Data!$C$288:$C$338</definedName>
    <definedName name="dataListDataCenter">Data!$I$341:$I$356</definedName>
    <definedName name="dataListPricing">Data!$C$274:$C$278</definedName>
    <definedName name="dataListTotalMarketing">Data!$G$341:$G$381</definedName>
    <definedName name="dataListWobbler1">Data!$C$283:$C$284</definedName>
    <definedName name="dataListWobbler2">Data!$E$283:$E$285</definedName>
    <definedName name="dataListWobbler3">Data!$G$283:$G$284</definedName>
    <definedName name="dataNumTeams">Data!$E$4</definedName>
    <definedName name="dataProd1CloudPct">Data!$E$23:$H$23</definedName>
    <definedName name="dataProd1NonCloudPct">Data!$E$24:$H$24</definedName>
    <definedName name="dataProd1Price">Data!$E$6</definedName>
    <definedName name="dataProd1Revenue">Data!$E$12</definedName>
    <definedName name="dataProd1Seg1CloudRev">Data!$E$46:$H$46</definedName>
    <definedName name="dataProd1Seg1CloudRevGrowth">Data!$E$47:$H$47</definedName>
    <definedName name="dataProd1Seg1NonCloudRev">Data!$E$54:$H$54</definedName>
    <definedName name="dataProd1Seg1NonCloudRevGrowth">Data!$E$55:$H$55</definedName>
    <definedName name="dataProd1Seg1Pct">Data!$E$32:$H$32</definedName>
    <definedName name="dataProd1Seg1Rev">Data!$E$68:$H$68</definedName>
    <definedName name="dataProd1Seg1RevGrowth">Data!$E$69:$H$69</definedName>
    <definedName name="dataProd1Seg1ServicesPct">Data!$E$36:$H$36</definedName>
    <definedName name="dataProd1Seg1ServicesRev">Data!$E$62:$H$62</definedName>
    <definedName name="dataProd1Seg1ServicesRevGrowth">Data!$E$63:$H$63</definedName>
    <definedName name="dataProd1Seg2CloudRev">Data!$E$48:$H$48</definedName>
    <definedName name="dataProd1Seg2CloudRevGrowth">Data!$E$49:$H$49</definedName>
    <definedName name="dataProd1Seg2NonCloudRev">Data!$E$56:$H$56</definedName>
    <definedName name="dataProd1Seg2NonCloudRevGrowth">Data!$E$57:$H$57</definedName>
    <definedName name="dataProd1Seg2Pct">Data!$E$33:$H$33</definedName>
    <definedName name="dataProd1Seg2Rev">Data!$E$70:$H$70</definedName>
    <definedName name="dataProd1Seg2RevGrowth">Data!$E$71:$H$71</definedName>
    <definedName name="dataProd1Seg2ServicesPct">Data!$E$37:$H$37</definedName>
    <definedName name="dataProd1Seg2ServicesRev">Data!$E$64:$H$64</definedName>
    <definedName name="dataProd1Seg2ServicesRevGrowth">Data!$E$65:$H$65</definedName>
    <definedName name="dataProd1Seg3CloudRev">Data!$E$50:$H$50</definedName>
    <definedName name="dataProd1Seg3CloudRevGrowth">Data!$E$51:$H$51</definedName>
    <definedName name="dataProd1Seg3NonCloudRev">Data!$E$58:$H$58</definedName>
    <definedName name="dataProd1Seg3NonCloudRevGrowth">Data!$E$59:$H$59</definedName>
    <definedName name="dataProd1Seg3Pct">Data!$E$34:$H$34</definedName>
    <definedName name="dataProd1Seg3Rev">Data!$E$72:$H$72</definedName>
    <definedName name="dataProd1Seg3RevGrowth">Data!$E$73:$H$73</definedName>
    <definedName name="dataProd1ServicesPct">Data!$E$25:$H$25</definedName>
    <definedName name="dataProd1TotalRev">Data!$E$19:$H$19</definedName>
    <definedName name="dataProd2CloudPct">Data!$E$83:$H$83</definedName>
    <definedName name="dataProd2Price">Data!$E$7</definedName>
    <definedName name="dataProd2Revenue">Data!$E$13</definedName>
    <definedName name="dataProd2Seg1CloudRev">Data!$E$94:$H$94</definedName>
    <definedName name="dataProd2Seg1CloudRevGrowth">Data!$E$95:$H$95</definedName>
    <definedName name="dataProd2Seg1Pct">Data!$E$86:$H$86</definedName>
    <definedName name="dataProd2Seg1Rev">Data!$E$106:$H$106</definedName>
    <definedName name="dataProd2Seg1RevGrowth">Data!$E$107:$H$107</definedName>
    <definedName name="dataProd2Seg1ServicesPct">Data!$E$90:$H$90</definedName>
    <definedName name="dataProd2Seg2CloudRev">Data!$E$96:$H$96</definedName>
    <definedName name="dataProd2Seg2CloudRevGrowth">Data!$E$97:$H$97</definedName>
    <definedName name="dataProd2Seg2Pct">Data!$E$87:$H$87</definedName>
    <definedName name="dataProd2Seg2Rev">Data!$E$108:$H$108</definedName>
    <definedName name="dataProd2Seg2RevGrowth">Data!$E$109:$H$109</definedName>
    <definedName name="dataProd2Seg2ServicesPct">Data!$E$91:$H$91</definedName>
    <definedName name="dataProd2ServicesPct">Data!$E$84:$H$84</definedName>
    <definedName name="dataProd2TotalRev">Data!$E$79:$H$79</definedName>
    <definedName name="dataProd3Price">Data!$E$8</definedName>
    <definedName name="dataProd3Revenue">Data!$E$14</definedName>
    <definedName name="dataProd3Seg1MarketUnits">Data!$E$176:$H$176</definedName>
    <definedName name="dataProd3Seg1Revenue">Data!$E$122:$H$122</definedName>
    <definedName name="dataProd3Seg1RevenueGrowth">Data!$F$123:$H$123</definedName>
    <definedName name="dataProd3Seg2MarketUnits">Data!$E$177:$H$177</definedName>
    <definedName name="dataProd3Seg2Revenue">Data!$E$124:$H$124</definedName>
    <definedName name="dataProd3Seg2RevenueGrowth">Data!$F$125:$H$125</definedName>
    <definedName name="dataProd3Seg3MarketUnits">Data!$E$178:$H$178</definedName>
    <definedName name="dataProd3Seg3Revenue">Data!$E$126:$H$126</definedName>
    <definedName name="dataProd3Seg3RevenueGrowth">Data!$F$127:$H$127</definedName>
    <definedName name="dataServicePrice">Data!$E$9</definedName>
    <definedName name="dataTableHiringSkill">Data!$C$266:$D$268</definedName>
    <definedName name="dataTableOfferingInvestments">Data!$C$244:$E$249</definedName>
    <definedName name="dataTablePartnerActivity">Data!$C$222:$E$227</definedName>
    <definedName name="dataTablePlatformInvestments">Data!$C$233:$E$238</definedName>
    <definedName name="dataTablePricing">Data!$C$274:$E$278</definedName>
    <definedName name="dataTableSkillsInvestments">Data!$C$255:$E$260</definedName>
    <definedName name="dataTotalProd1Revenue">Data!$E$148:$H$148</definedName>
    <definedName name="dataTotalProd2Revenue">Data!$E$151:$H$151</definedName>
    <definedName name="dataTotalProd3Revenue">Data!$E$154:$H$154</definedName>
    <definedName name="dataTotalSeg1Revenue">Data!$E$137:$H$137</definedName>
    <definedName name="dataTotalSeg2Revenue">Data!$E$140:$H$140</definedName>
    <definedName name="dataTotalSeg3Revenue">Data!$E$143:$H$143</definedName>
    <definedName name="DataValidation_Names">DataValidation!$C$24</definedName>
    <definedName name="DataValidation_Pre">DataValidation!$E$14</definedName>
    <definedName name="DataValidation_Types">DataValidation!$E$24</definedName>
    <definedName name="DB_arrayDash1Names">Dashboard!$C$26:$C$35</definedName>
    <definedName name="DB_arrayDash1Values">Dashboard!$G$26:$G$35</definedName>
    <definedName name="DB_arrayDash2Names">Dashboard!$C$40:$C$49</definedName>
    <definedName name="DB_arrayDash2Values">Dashboard!$G$40:$G$49</definedName>
    <definedName name="DB_arrayDash3Names">Dashboard!$C$54:$C$63</definedName>
    <definedName name="DB_arrayDash3Values">Dashboard!$G$54:$G$63</definedName>
    <definedName name="DB_arrayDash4Names">Dashboard!$C$69:$C$78</definedName>
    <definedName name="DB_arrayDash4Values">Dashboard!$G$69:$G$78</definedName>
    <definedName name="DB_Dashboard1">Dashboard!$E$6</definedName>
    <definedName name="DB_Dashboard2">Dashboard!$E$9</definedName>
    <definedName name="DB_Dashboard3">Dashboard!$E$12</definedName>
    <definedName name="DB_Dashboard4">Dashboard!$E$15</definedName>
    <definedName name="DB_LargeWhiteSpace">Dashboard!$E$86</definedName>
    <definedName name="DB_LargeWhiteSpaceLength">Dashboard!$E$21</definedName>
    <definedName name="DB_SubWhiteSpace">Dashboard!$E$87</definedName>
    <definedName name="DB_SubWhiteSpaceLength">Dashboard!$E$22</definedName>
    <definedName name="DB_WhiteSpace">Dashboard!$E$85</definedName>
    <definedName name="DB_WhiteSpaceLength">Dashboard!$E$20</definedName>
    <definedName name="dec_End">Dec!$E$125</definedName>
    <definedName name="dec_ErrorCheck">DecErrorMessage!$D$32</definedName>
    <definedName name="dec_ErrorMessage">DecErrorMessage!$D$12</definedName>
    <definedName name="dec_FormulaReset">Dec!$G$4:$G$124</definedName>
    <definedName name="dec_LineBreak">DecErrorMessage!$D$35</definedName>
    <definedName name="dec_Names">Dec!$F$4:$F$125</definedName>
    <definedName name="dec_Paste">Dec!$E$4:$E$4</definedName>
    <definedName name="dec_PasteY1">Dec!$L$4:$P$4</definedName>
    <definedName name="dec_PasteY2">Dec!$R$4:$V$4</definedName>
    <definedName name="dec_PasteY3">Dec!$X$4:$AB$4</definedName>
    <definedName name="dec_Round">Controls!$D$45</definedName>
    <definedName name="dec_TeamName">Controls!$D$41</definedName>
    <definedName name="dec_TeamNumber">Controls!$D$43</definedName>
    <definedName name="dec_ToolInputPrefix">Controls!$D$47</definedName>
    <definedName name="dec_ToolReset">Dec!$H$4:$H$124</definedName>
    <definedName name="dec_ToolResetR0">Dec!$I$4:$I$124</definedName>
    <definedName name="dec_ToolResetValues">Dec!$J$4:$J$124</definedName>
    <definedName name="decCommercialCloudMigration">Dec!$E$86:$E$86</definedName>
    <definedName name="decCommercialDirectSalesFTEs">Dec!$E$71:$E$71</definedName>
    <definedName name="decCommercialInsideSalesFTEs">Dec!$E$72:$E$72</definedName>
    <definedName name="decCommercialPartner1Pct">Dec!$E$80:$E$80</definedName>
    <definedName name="decCommercialPartner2Pct">Dec!$E$81:$E$81</definedName>
    <definedName name="decCommercialPartner3Pct">Dec!$E$82:$E$82</definedName>
    <definedName name="decCommercialPartner4Pct">Dec!$E$83:$E$83</definedName>
    <definedName name="decCommercialPartnerDevelopment">Dec!$E$76:$E$76</definedName>
    <definedName name="decCommercialPartnerEducation">Dec!$E$78:$E$78</definedName>
    <definedName name="decCommercialPartnerIncentives">Dec!$E$77:$E$77</definedName>
    <definedName name="decCommercialProd1Price">Dec!$E$61:$E$61</definedName>
    <definedName name="decCommercialProd1Seg1Share">Dec!$E$53:$E$53</definedName>
    <definedName name="decCommercialProd1Seg2Share">Dec!$E$54:$E$54</definedName>
    <definedName name="decCommercialProd2Price">Dec!$E$62:$E$62</definedName>
    <definedName name="decCommercialProd2Seg1Share">Dec!$E$55:$E$55</definedName>
    <definedName name="decCommercialProd2Seg2Share">Dec!$E$56:$E$56</definedName>
    <definedName name="decCommercialProd3Price">Dec!$E$63:$E$63</definedName>
    <definedName name="decCommercialProd3Seg1Share">Dec!$E$57:$E$57</definedName>
    <definedName name="decCommercialProd3Seg2Share">Dec!$E$58:$E$58</definedName>
    <definedName name="decCommercialServicesFTEs">Dec!$E$73:$E$73</definedName>
    <definedName name="decCommercialSkill1">Dec!$E$66:$E$66</definedName>
    <definedName name="decCommercialSkill2">Dec!$E$67:$E$67</definedName>
    <definedName name="decCommercialSkill3">Dec!$E$68:$E$68</definedName>
    <definedName name="decConsumerDirectSalesFTEs">Dec!$E$102:$E$102</definedName>
    <definedName name="decConsumerInsideSalesFTEs">Dec!$E$103:$E$103</definedName>
    <definedName name="decConsumerPartner4Pct">Dec!$E$111:$E$111</definedName>
    <definedName name="decConsumerPartner5Pct">Dec!$E$112:$E$112</definedName>
    <definedName name="decConsumerPartner6Pct">Dec!$E$113:$E$113</definedName>
    <definedName name="decConsumerPartnerDevelopment">Dec!$E$107:$E$107</definedName>
    <definedName name="decConsumerPartnerEducation">Dec!$E$109:$E$109</definedName>
    <definedName name="decConsumerPartnerIncentives">Dec!$E$108:$E$108</definedName>
    <definedName name="decConsumerProd1Price">Dec!$E$94:$E$94</definedName>
    <definedName name="decConsumerProd1Seg3Share">Dec!$E$90:$E$90</definedName>
    <definedName name="decConsumerProd3Price">Dec!$E$95:$E$95</definedName>
    <definedName name="decConsumerProd3Seg3Share">Dec!$E$91:$E$91</definedName>
    <definedName name="decConsumerServicesFTEs">Dec!$E$104:$E$104</definedName>
    <definedName name="decConsumerSkill1">Dec!$E$98:$E$98</definedName>
    <definedName name="decConsumerSkill2">Dec!$E$99:$E$99</definedName>
    <definedName name="decEGInteroperability">Dec!$E$37:$E$37</definedName>
    <definedName name="decEGProd1Offering1">Dec!$E$40:$E$40</definedName>
    <definedName name="decEGProd1Offering2">Dec!$E$41:$E$41</definedName>
    <definedName name="decEGProd2Offering1">Dec!$E$44:$E$44</definedName>
    <definedName name="decEGProd2Offering2">Dec!$E$45:$E$45</definedName>
    <definedName name="decEGProd3Offering1">Dec!$E$48:$E$48</definedName>
    <definedName name="decEGProd3Offering2">Dec!$E$49:$E$49</definedName>
    <definedName name="decEGScalability">Dec!$E$36:$E$36</definedName>
    <definedName name="decEGSecurity">Dec!$E$35:$E$35</definedName>
    <definedName name="decOpsCollabFTEs">Dec!$E$28:$E$28</definedName>
    <definedName name="decOpsCommercialMarketingBudget">Dec!$E$15:$E$15</definedName>
    <definedName name="decOpsCommercialProd1Marketing">Dec!$E$16:$E$16</definedName>
    <definedName name="decOpsCommercialProd2Marketing">Dec!$E$17:$E$17</definedName>
    <definedName name="decOpsCommercialProd3Marketing">Dec!$E$18:$E$18</definedName>
    <definedName name="decOpsConsumerMarketingBudget">Dec!$E$20:$E$20</definedName>
    <definedName name="decOpsConsumerProd1Marketing">Dec!$E$21:$E$21</definedName>
    <definedName name="decOpsConsumerProd3Marketing">Dec!$E$22:$E$22</definedName>
    <definedName name="decOpsDataCenter">Dec!$E$31:$E$31</definedName>
    <definedName name="decOpsGlobalDemandCenterFTEs">Dec!$E$26:$E$26</definedName>
    <definedName name="decOpsITFTEs">Dec!$E$25:$E$25</definedName>
    <definedName name="decOpsSalesCollabFTEs">Dec!$E$28:$E$28</definedName>
    <definedName name="decOpsSupplyChainFTEs">Dec!$E$27:$E$27</definedName>
    <definedName name="decOpsTotalMarketingBudget">Dec!$E$13:$E$13</definedName>
    <definedName name="decSI01">Dec!$E$53:$E$53</definedName>
    <definedName name="decSI02">Dec!$E$54:$E$54</definedName>
    <definedName name="decSI03">Dec!$E$90:$E$90</definedName>
    <definedName name="decSI04">Dec!$E$55:$E$55</definedName>
    <definedName name="decSI05">Dec!$E$56:$E$56</definedName>
    <definedName name="decTeamName">Dec!$E$7:$E$7</definedName>
    <definedName name="decTeamNumber">Dec!$E$8:$E$8</definedName>
    <definedName name="decTeamRound">Dec!$E$9:$E$9</definedName>
    <definedName name="decWobbler1">Dec!$E$116:$E$116</definedName>
    <definedName name="decWobbler2">Dec!$E$117:$E$117</definedName>
    <definedName name="decWobbler3">Dec!$E$118:$E$118</definedName>
    <definedName name="decWobbler4">Dec!$E$119:$E$119</definedName>
    <definedName name="decWobbler5">Dec!$E$120:$E$120</definedName>
    <definedName name="decWobbler6">Dec!$E$121:$E$121</definedName>
    <definedName name="decWobbler7">Dec!$E$122:$E$122</definedName>
    <definedName name="decWobbler8">Dec!$E$123:$E$123</definedName>
    <definedName name="Devices">Glossary!$C$66</definedName>
    <definedName name="Doors_OS">Glossary!$C$65</definedName>
    <definedName name="feedback_FeedbackFileName">Controls!$D$7</definedName>
    <definedName name="feedback_FeedbackSheetName">Controls!$D$35</definedName>
    <definedName name="feedback_TimeSeriesFeedbackSheetName">Controls!$D$37</definedName>
    <definedName name="FilePath">Popup_Wobbler!$B$298</definedName>
    <definedName name="FinDefBookingsName">FinDefControls!$E$14</definedName>
    <definedName name="FinDefContractLength">FinDefControls!$E$16</definedName>
    <definedName name="FinDefDCDepRate">FinDefControls!$E$24:$O$24</definedName>
    <definedName name="FinDefDeferralRate">FinDefControls!$E$20</definedName>
    <definedName name="FinDefRecogRate">FinDefControls!$E$18</definedName>
    <definedName name="finPNLDirectSalesSalaryExp">FinPNL!$E$247:$N$247</definedName>
    <definedName name="finPNLGAExp">FinPNL!$E$260:$N$260</definedName>
    <definedName name="finPNLInsideSalesSalaryExp">FinPNL!$E$248:$N$248</definedName>
    <definedName name="finPNLMarketingExp">FinPNL!$E$246:$N$246</definedName>
    <definedName name="finPNLOpsSalaryExp">FinPNL!$E$257:$N$257</definedName>
    <definedName name="finPNLPartnerActivityExp">FinPNL!$E$251:$N$251</definedName>
    <definedName name="finPNLPartnerSalaryExp">FinPNL!$E$250:$N$250</definedName>
    <definedName name="finPNLProd1Seg1GrossMargin">FinPNL!$E$31:$N$31</definedName>
    <definedName name="finPNLProd1Seg1GrossProfit">FinPNL!$E$30:$N$30</definedName>
    <definedName name="finPNLProd1Seg1NewBookings">FinPNL!$E$7:$N$7</definedName>
    <definedName name="finPNLProd1Seg1NewCOGS">FinPNL!$E$22:$N$22</definedName>
    <definedName name="finPNLProd1Seg1NewRev">FinPNL!$E$13:$N$13</definedName>
    <definedName name="finPNLProd1Seg1NonCloudCOGS">FinPNL!$E$24:$N$24</definedName>
    <definedName name="finPNLProd1Seg1NonCloudRev">FinPNL!$E$15:$N$15</definedName>
    <definedName name="finPNLProd1Seg1RenewalBookings">FinPNL!$E$8:$N$8</definedName>
    <definedName name="finPNLProd1Seg1RenewalCOGS">FinPNL!$E$23:$N$23</definedName>
    <definedName name="finPNLProd1Seg1RenewalRev">FinPNL!$E$14:$N$14</definedName>
    <definedName name="finPNLProd1Seg1RevFromDef">FinPNL!$E$17:$N$17</definedName>
    <definedName name="finPNLProd1Seg1ServicesCOGS">FinPNL!$E$25:$N$25</definedName>
    <definedName name="finPNLProd1Seg1ServicesRev">FinPNL!$E$16:$N$16</definedName>
    <definedName name="finPNLProd1Seg1TotalBookings">FinPNL!$E$10:$N$10</definedName>
    <definedName name="finPNLProd1Seg1TotalCOGs">FinPNL!$E$27:$N$27</definedName>
    <definedName name="finPNLProd1Seg1TotalRev">FinPNL!$E$19:$N$19</definedName>
    <definedName name="finPNLProd1Seg2GrossMargin">FinPNL!$E$60:$N$60</definedName>
    <definedName name="finPNLProd1Seg2GrossProfit">FinPNL!$E$59:$N$59</definedName>
    <definedName name="finPNLProd1Seg2NewBookings">FinPNL!$E$36:$N$36</definedName>
    <definedName name="finPNLProd1Seg2NewCOGS">FinPNL!$E$51:$N$51</definedName>
    <definedName name="finPNLProd1Seg2NewRev">FinPNL!$E$42:$N$42</definedName>
    <definedName name="finPNLProd1Seg2NonCloudCOGS">FinPNL!$E$53:$N$53</definedName>
    <definedName name="finPNLProd1Seg2NonCloudRev">FinPNL!$E$44:$N$44</definedName>
    <definedName name="finPNLProd1Seg2RenewalBookings">FinPNL!$E$37:$N$37</definedName>
    <definedName name="finPNLProd1Seg2RenewalCOGS">FinPNL!$E$52:$N$52</definedName>
    <definedName name="finPNLProd1Seg2RenewalRev">FinPNL!$E$43:$N$43</definedName>
    <definedName name="finPNLProd1Seg2RevFromDef">FinPNL!$E$46:$N$46</definedName>
    <definedName name="finPNLProd1Seg2ServicesCOGS">FinPNL!$E$54:$N$54</definedName>
    <definedName name="finPNLProd1Seg2ServicesRev">FinPNL!$E$45:$N$45</definedName>
    <definedName name="finPNLProd1Seg2TotalBookings">FinPNL!$E$39:$N$39</definedName>
    <definedName name="finPNLProd1Seg2TotalCOGs">FinPNL!$E$56:$N$56</definedName>
    <definedName name="finPNLProd1Seg2TotalRev">FinPNL!$E$48:$N$48</definedName>
    <definedName name="finPNLProd1Seg3GrossMargin">FinPNL!$E$88:$N$88</definedName>
    <definedName name="finPNLProd1Seg3GrossProfit">FinPNL!$E$87:$N$87</definedName>
    <definedName name="finPNLProd1Seg3NewBookings">FinPNL!$E$66:$N$66</definedName>
    <definedName name="finPNLProd1Seg3NewCOGS">FinPNL!$E$80:$N$80</definedName>
    <definedName name="finPNLProd1Seg3NewRev">FinPNL!$E$72:$N$72</definedName>
    <definedName name="finPNLProd1Seg3NonCloudCOGS">FinPNL!$E$81:$N$81</definedName>
    <definedName name="finPNLProd1Seg3NonCloudRev">FinPNL!$E$74:$N$74</definedName>
    <definedName name="finPNLProd1Seg3RenewalBookings">FinPNL!$E$67:$N$67</definedName>
    <definedName name="finPNLProd1Seg3RenewalCOGS">FinPNL!$E$82:$N$82</definedName>
    <definedName name="finPNLProd1Seg3RenewalRev">FinPNL!$E$73:$N$73</definedName>
    <definedName name="finPNLProd1Seg3RevFromDef">FinPNL!$E$75:$N$75</definedName>
    <definedName name="finPNLProd1Seg3TotalBookings">FinPNL!$E$69:$N$69</definedName>
    <definedName name="finPNLProd1Seg3TotalCOGs">FinPNL!$E$84:$N$84</definedName>
    <definedName name="finPNLProd1Seg3TotalRev">FinPNL!$E$77:$N$77</definedName>
    <definedName name="finPNLProd2Seg1GrossMargin">FinPNL!$E$115:$N$115</definedName>
    <definedName name="finPNLProd2Seg1GrossProfit">FinPNL!$E$114:$N$114</definedName>
    <definedName name="finPNLProd2Seg1NewBookings">FinPNL!$E$93:$N$93</definedName>
    <definedName name="finPNLProd2Seg1NewCOGS">FinPNL!$E$107:$N$107</definedName>
    <definedName name="finPNLProd2Seg1NewRev">FinPNL!$E$99:$N$99</definedName>
    <definedName name="finPNLProd2Seg1RenewalBookings">FinPNL!$E$94:$N$94</definedName>
    <definedName name="finPNLProd2Seg1RenewalCOGS">FinPNL!$E$108:$N$108</definedName>
    <definedName name="finPNLProd2Seg1RenewalRev">FinPNL!$E$100:$N$100</definedName>
    <definedName name="finPNLProd2Seg1RevFromDef">FinPNL!$E$102:$N$102</definedName>
    <definedName name="finPNLProd2Seg1ServicesCOGS">FinPNL!$E$109:$N$109</definedName>
    <definedName name="finPNLProd2Seg1ServicesRev">FinPNL!$E$101:$N$101</definedName>
    <definedName name="finPNLProd2Seg1TotalBookings">FinPNL!$E$96:$N$96</definedName>
    <definedName name="finPNLProd2Seg1TotalCOGs">FinPNL!$E$111:$N$111</definedName>
    <definedName name="finPNLProd2Seg1TotalRev">FinPNL!$E$104:$N$104</definedName>
    <definedName name="finPNLProd2Seg2GrossMargin">FinPNL!$E$143:$N$143</definedName>
    <definedName name="finPNLProd2Seg2GrossProfit">FinPNL!$E$142:$N$142</definedName>
    <definedName name="finPNLProd2Seg2NewBookings">FinPNL!$E$121:$N$121</definedName>
    <definedName name="finPNLProd2Seg2NewCOGS">FinPNL!$E$135:$N$135</definedName>
    <definedName name="finPNLProd2Seg2NewRev">FinPNL!$E$127:$N$127</definedName>
    <definedName name="finPNLProd2Seg2RenewalBookings">FinPNL!$E$122:$N$122</definedName>
    <definedName name="finPNLProd2Seg2RenewalCOGS">FinPNL!$E$136:$N$136</definedName>
    <definedName name="finPNLProd2Seg2RenewalRev">FinPNL!$E$128:$N$128</definedName>
    <definedName name="finPNLProd2Seg2RevFromDef">FinPNL!$E$130:$N$130</definedName>
    <definedName name="finPNLProd2Seg2ServicesCOGS">FinPNL!$E$137:$N$137</definedName>
    <definedName name="finPNLProd2Seg2ServicesRev">FinPNL!$E$129:$N$129</definedName>
    <definedName name="finPNLProd2Seg2TotalBookings">FinPNL!$E$124:$N$124</definedName>
    <definedName name="finPNLProd2Seg2TotalCOGs">FinPNL!$E$139:$N$139</definedName>
    <definedName name="finPNLProd2Seg2TotalRev">FinPNL!$E$132:$N$132</definedName>
    <definedName name="finPNLProd3Seg1GrossMargin">FinPNL!$E$160:$N$160</definedName>
    <definedName name="finPNLProd3Seg1GrossProfit">FinPNL!$E$159:$N$159</definedName>
    <definedName name="finPNLProd3Seg1LaborCOGS">FinPNL!$E$154:$N$154</definedName>
    <definedName name="finPNLProd3Seg1MatCOGS">FinPNL!$E$153:$N$153</definedName>
    <definedName name="finPNLProd3Seg1TotalCOGs">FinPNL!$E$156:$N$156</definedName>
    <definedName name="finPNLProd3Seg1TotalRev">FinPNL!$E$150:$N$150</definedName>
    <definedName name="finPNLProd3Seg2GrossMargin">FinPNL!$E$177:$N$177</definedName>
    <definedName name="finPNLProd3Seg2GrossProfit">FinPNL!$E$176:$N$176</definedName>
    <definedName name="finPNLProd3Seg2LaborCOGS">FinPNL!$E$171:$N$171</definedName>
    <definedName name="finPNLProd3Seg2MatCOGS">FinPNL!$E$170:$N$170</definedName>
    <definedName name="finPNLProd3Seg2TotalCOGs">FinPNL!$E$173:$N$173</definedName>
    <definedName name="finPNLProd3Seg2TotalRev">FinPNL!$E$167:$N$167</definedName>
    <definedName name="finPNLProd3Seg3GrossMargin">FinPNL!$E$194:$N$194</definedName>
    <definedName name="finPNLProd3Seg3GrossProfit">FinPNL!$E$193:$N$193</definedName>
    <definedName name="finPNLProd3Seg3LaborCOGS">FinPNL!$E$188:$N$188</definedName>
    <definedName name="finPNLProd3Seg3MatCOGS">FinPNL!$E$187:$N$187</definedName>
    <definedName name="finPNLProd3Seg3TotalCOGs">FinPNL!$E$190:$N$190</definedName>
    <definedName name="finPNLProd3Seg3TotalRev">FinPNL!$E$184:$N$184</definedName>
    <definedName name="finPNLServicesSalaryExp">FinPNL!$E$249:$N$249</definedName>
    <definedName name="finPNLTalentDevExp">FinPNL!$E$259:$N$259</definedName>
    <definedName name="finPNLTotalBookings">FinPNL!$E$205:$N$205</definedName>
    <definedName name="finPNLTotalCOGS">FinPNL!$E$230:$N$230</definedName>
    <definedName name="finPNLTotalGAExp">FinPNL!$E$262:$N$262</definedName>
    <definedName name="finPNLTotalGAExpPerc">FinPNL!$E$263:$N$263</definedName>
    <definedName name="finPNLTotalGrossMargin">FinPNL!$E$243:$N$243</definedName>
    <definedName name="finPNLTotalGrossProfit">FinPNL!$E$242:$N$242</definedName>
    <definedName name="finPNLTotalMSExp">FinPNL!$E$253:$N$253</definedName>
    <definedName name="finPNLTotalMSExpPerc">FinPNL!$E$254:$N$254</definedName>
    <definedName name="finPNLTotalOpex">FinPNL!$E$266:$N$266</definedName>
    <definedName name="finPNLTotalOpsMargin">FinPNL!$E$269:$N$269</definedName>
    <definedName name="finPNLTotalOpsProfit">FinPNL!$E$268:$N$268</definedName>
    <definedName name="finPNLTotalProd1GrossMargin">FinPNL!$E$287:$N$287</definedName>
    <definedName name="finPNLTotalProd1GrossProfit">FinPNL!$E$281:$N$281</definedName>
    <definedName name="finPNLTotalProd1Rev">FinPNL!$E$275:$N$275</definedName>
    <definedName name="finPNLTotalProd2GrossMargin">FinPNL!$E$288:$N$288</definedName>
    <definedName name="finPNLTotalProd2GrossProfit">FinPNL!$E$282:$N$282</definedName>
    <definedName name="finPNLTotalProd2Rev">FinPNL!$E$276:$N$276</definedName>
    <definedName name="finPNLTotalProd3GrossMargin">FinPNL!$E$289:$N$289</definedName>
    <definedName name="finPNLTotalProd3GrossProfit">FinPNL!$E$283:$N$283</definedName>
    <definedName name="finPNLTotalProd3Rev">FinPNL!$E$277:$N$277</definedName>
    <definedName name="finPNLTotalRev">FinPNL!$E$217:$N$217</definedName>
    <definedName name="finPNLTotalRevGrowth">FinPNL!$E$218:$N$218</definedName>
    <definedName name="finPNLTotalSeg1GrossMargin">FinPNL!$E$307:$N$307</definedName>
    <definedName name="finPNLTotalSeg1GrossProfit">FinPNL!$E$301:$N$301</definedName>
    <definedName name="finPNLTotalSeg1Rev">FinPNL!$E$295:$N$295</definedName>
    <definedName name="finPNLTotalSeg2GrossMargin">FinPNL!$E$308:$N$308</definedName>
    <definedName name="finPNLTotalSeg2GrossProfit">FinPNL!$E$302:$N$302</definedName>
    <definedName name="finPNLTotalSeg2Rev">FinPNL!$E$296:$N$296</definedName>
    <definedName name="finPNLTotalSeg3GrossMargin">FinPNL!$E$309:$N$309</definedName>
    <definedName name="finPNLTotalSeg3GrossProfit">FinPNL!$E$303:$N$303</definedName>
    <definedName name="finPNLTotalSeg3Rev">FinPNL!$E$297:$N$297</definedName>
    <definedName name="finPNLUnallocatedSalaryExp">FinPNL!$E$258:$N$258</definedName>
    <definedName name="FinTradCalcProd1COGSPUnit">calcUnits!$E$40:$E$40</definedName>
    <definedName name="FinTradCalcProd1EndingShare">calcUnits!$E$8:$E$8</definedName>
    <definedName name="FinTradCalcProd1MatExp">calcUnits!$E$35:$E$35</definedName>
    <definedName name="FinTradCalcProd1NewUnits">calcUnits!$E$10:$E$10</definedName>
    <definedName name="finTradCalcProd1Price">calcUnits!$E$12:$E$12</definedName>
    <definedName name="FTETotalOutput">calcFTEsExpenses!$E$26:$E$26</definedName>
    <definedName name="FTETypeAFTE">calcFTEsExpenses!$E$21:$E$21</definedName>
    <definedName name="glossary_Language">Controls!$D$11</definedName>
    <definedName name="H59tlOutputOpsCommercialProd1MktgBudgetOpening">tlInputOps!$H$68</definedName>
    <definedName name="hood_OnHoodCloseGoTo">Controls!$D$33</definedName>
    <definedName name="hood_ToolPrefix">Controls!$D$51</definedName>
    <definedName name="Image">INDIRECT(dataRevealImageSource)</definedName>
    <definedName name="ImportExportCSV_BalSheetClosing">ImportExportCSV!$D$18</definedName>
    <definedName name="ImportExportCSV_BalSheetOnObal">ImportExportCSV!$D$14</definedName>
    <definedName name="ImportExportCSV_BalSheetOpening">ImportExportCSV!$D$16</definedName>
    <definedName name="IndustryAvgCommercialInsideSalesFTEs">mmCompetitorData!$E$181</definedName>
    <definedName name="IndustryAvgCommercialSalesFTEs">mmCompetitorData!$E$180</definedName>
    <definedName name="IndustryAvgCommercialServicesFTEs">mmCompetitorData!$E$182</definedName>
    <definedName name="IndustryAvgCommercialSkill1">mmCompetitorData!$E$171</definedName>
    <definedName name="IndustryAvgCommercialSkill2">mmCompetitorData!$E$172</definedName>
    <definedName name="IndustryAvgCommercialSkill3">mmCompetitorData!$E$173</definedName>
    <definedName name="IndustryAvgConsumerInsideSalesFTEs">mmCompetitorData!$E$199</definedName>
    <definedName name="IndustryAvgConsumerSalesFTEs">mmCompetitorData!$E$198</definedName>
    <definedName name="IndustryAvgConsumerServicesFTEs">mmCompetitorData!$E$200</definedName>
    <definedName name="IndustryAvgConsumerSkill1">mmCompetitorData!$E$190</definedName>
    <definedName name="IndustryAvgConsumerSkill2">mmCompetitorData!$E$191</definedName>
    <definedName name="IndustryAvgEGInteroperability">mmCompetitorData!$E$154</definedName>
    <definedName name="IndustryAvgEGProd1Offering1">mmCompetitorData!$E$156</definedName>
    <definedName name="IndustryAvgEGProd1Offering2">mmCompetitorData!$E$157</definedName>
    <definedName name="IndustryAvgEGProd2Offering1">mmCompetitorData!$E$158</definedName>
    <definedName name="IndustryAvgEGProd2Offering2">mmCompetitorData!$E$159</definedName>
    <definedName name="IndustryAvgEGProd3Offering1">mmCompetitorData!$E$160</definedName>
    <definedName name="IndustryAvgEGProd3Offering2">mmCompetitorData!$E$161</definedName>
    <definedName name="IndustryAvgEGScalability">mmCompetitorData!$E$155</definedName>
    <definedName name="IndustryAvgEGSecurity">mmCompetitorData!$E$153</definedName>
    <definedName name="InfoButtonColor">InfoButton!$D$16</definedName>
    <definedName name="InfoButtonNum">InfoButton!$C$30:$C$56</definedName>
    <definedName name="InfoButtonSht">InfoButton!$E$30:$E$56</definedName>
    <definedName name="InfoButtonStatus">InfoButton!$D$75</definedName>
    <definedName name="InfoButtonText">InfoButton!$D$30:$D$56</definedName>
    <definedName name="InfoButtonTitle">InfoButton!$D$23</definedName>
    <definedName name="InfoButtonToggleHide">InfoButton!$D$27</definedName>
    <definedName name="InfoButtonToggleLabel">InfoButton!$D$79</definedName>
    <definedName name="InfoButtonToggleShow">InfoButton!$D$26</definedName>
    <definedName name="Kinetics">Glossary!$C$61</definedName>
    <definedName name="LevelSelectedtlCommercial">btnLevel!$D$18</definedName>
    <definedName name="LevelSelectedtlConsumer">btnLevel!$D$20</definedName>
    <definedName name="LevelSelectedtlEG">btnLevel!$D$16</definedName>
    <definedName name="LevelSelectedtlOps">btnLevel!$D$14</definedName>
    <definedName name="LookupRound">LookupTable!$D$1</definedName>
    <definedName name="ManualAdjCPAdvocacy">Balancing!$E$132:$N$132</definedName>
    <definedName name="ManualAdjExecution">Balancing!$E$139:$N$139</definedName>
    <definedName name="ManualAdjProd1Seg1Consumption">Balancing!$E$30:$O$30</definedName>
    <definedName name="ManualAdjProd1Seg1RenRate">Balancing!$E$35:$O$35</definedName>
    <definedName name="ManualAdjProd1Seg1Share">Balancing!$E$25:$O$25</definedName>
    <definedName name="ManualAdjProd1Seg2Consumption">Balancing!$E$47:$O$47</definedName>
    <definedName name="ManualAdjProd1Seg2RenRate">Balancing!$E$53:$O$53</definedName>
    <definedName name="ManualAdjProd1Seg2Share">Balancing!$E$42:$O$42</definedName>
    <definedName name="ManualAdjProd1Seg3Consumption">Balancing!$E$65:$O$65</definedName>
    <definedName name="ManualAdjProd1Seg3RenRate">Balancing!$E$70:$O$70</definedName>
    <definedName name="ManualAdjProd1Seg3Share">Balancing!$E$60:$O$60</definedName>
    <definedName name="ManualAdjProd2Seg1Consumption">Balancing!$E$82:$O$82</definedName>
    <definedName name="ManualAdjProd2Seg1RenRate">Balancing!$E$87:$O$87</definedName>
    <definedName name="ManualAdjProd2Seg1Share">Balancing!$E$77:$O$77</definedName>
    <definedName name="ManualAdjProd2Seg2Consumption">Balancing!$E$99:$O$99</definedName>
    <definedName name="ManualAdjProd2Seg2RenRate">Balancing!$E$104:$O$104</definedName>
    <definedName name="ManualAdjProd2Seg2Share">Balancing!$E$94:$O$94</definedName>
    <definedName name="ManualAdjProd3Seg1Share">Balancing!$E$111:$O$111</definedName>
    <definedName name="ManualAdjProd3Seg2Share">Balancing!$E$118:$O$118</definedName>
    <definedName name="ManualAdjProd3Seg3Share">Balancing!$E$125:$O$125</definedName>
    <definedName name="ManualAdjWHI">Balancing!$E$146:$N$146</definedName>
    <definedName name="mmCompetitorProd1Seg1Driver1">mmCompetitorData!$O$40</definedName>
    <definedName name="mmCompetitorProd1Seg1Driver2">mmCompetitorData!$O$41</definedName>
    <definedName name="mmCompetitorProd1Seg1Driver3">mmCompetitorData!$O$42</definedName>
    <definedName name="mmCompetitorProd1Seg1Driver4">mmCompetitorData!$O$43</definedName>
    <definedName name="mmCompetitorProd1Seg1Driver5">mmCompetitorData!$O$44</definedName>
    <definedName name="mmCompetitorProd1Seg1Driver6">mmCompetitorData!$O$45</definedName>
    <definedName name="mmCompetitorProd1Seg1Driver7">mmCompetitorData!$O$46</definedName>
    <definedName name="mmCompetitorProd1Seg1Driver8">mmCompetitorData!$O$47</definedName>
    <definedName name="mmCompetitorProd1Seg1RenRate">mmCompetitorData!$O$50</definedName>
    <definedName name="mmCompetitorProd1Seg1Share">mmCompetitorData!$O$19</definedName>
    <definedName name="mmCompetitorProd1Seg1TotalSubs">mmCompetitorData!$O$6</definedName>
    <definedName name="mmCompetitorProd1Seg2Driver1">mmCompetitorData!$O$55</definedName>
    <definedName name="mmCompetitorProd1Seg2Driver2">mmCompetitorData!$O$56</definedName>
    <definedName name="mmCompetitorProd1Seg2Driver3">mmCompetitorData!$O$57</definedName>
    <definedName name="mmCompetitorProd1Seg2Driver4">mmCompetitorData!$O$58</definedName>
    <definedName name="mmCompetitorProd1Seg2Driver5">mmCompetitorData!$O$59</definedName>
    <definedName name="mmCompetitorProd1Seg2Driver6">mmCompetitorData!$O$60</definedName>
    <definedName name="mmCompetitorProd1Seg2Driver7">mmCompetitorData!$O$61</definedName>
    <definedName name="mmCompetitorProd1Seg2Driver8">mmCompetitorData!$O$62</definedName>
    <definedName name="mmCompetitorProd1Seg2RenRate">mmCompetitorData!$E$65:$O$65</definedName>
    <definedName name="mmCompetitorProd1Seg2Share">mmCompetitorData!$O$20</definedName>
    <definedName name="mmCompetitorProd1Seg2TotalSubs">mmCompetitorData!$O$7</definedName>
    <definedName name="mmCompetitorProd1Seg3Driver1">mmCompetitorData!$O$71</definedName>
    <definedName name="mmCompetitorProd1Seg3Driver2">mmCompetitorData!$O$72</definedName>
    <definedName name="mmCompetitorProd1Seg3Driver3">mmCompetitorData!$O$73</definedName>
    <definedName name="mmCompetitorProd1Seg3Driver4">mmCompetitorData!$O$74</definedName>
    <definedName name="mmCompetitorProd1Seg3Driver5">mmCompetitorData!$O$75</definedName>
    <definedName name="mmCompetitorProd1Seg3Driver6">mmCompetitorData!$O$76</definedName>
    <definedName name="mmCompetitorProd1Seg3Driver7">mmCompetitorData!$O$77</definedName>
    <definedName name="mmCompetitorProd1Seg3Driver8">mmCompetitorData!$O$78</definedName>
    <definedName name="mmCompetitorProd1Seg3RenRate">mmCompetitorData!$O$81</definedName>
    <definedName name="mmCompetitorProd1Seg3Share">mmCompetitorData!$O$21</definedName>
    <definedName name="mmCompetitorProd1Seg3TotalSubs">mmCompetitorData!$O$8</definedName>
    <definedName name="mmCompetitorProd2Seg1Driver1">mmCompetitorData!$O$87</definedName>
    <definedName name="mmCompetitorProd2Seg1Driver2">mmCompetitorData!$O$88</definedName>
    <definedName name="mmCompetitorProd2Seg1Driver3">mmCompetitorData!$O$89</definedName>
    <definedName name="mmCompetitorProd2Seg1Driver4">mmCompetitorData!$O$90</definedName>
    <definedName name="mmCompetitorProd2Seg1Driver5">mmCompetitorData!$O$91</definedName>
    <definedName name="mmCompetitorProd2Seg1Driver6">mmCompetitorData!$O$92</definedName>
    <definedName name="mmCompetitorProd2Seg1RenRate">mmCompetitorData!$O$95</definedName>
    <definedName name="mmCompetitorProd2Seg1Share">mmCompetitorData!$O$26</definedName>
    <definedName name="mmCompetitorProd2Seg1TotalSubs">mmCompetitorData!$O$13</definedName>
    <definedName name="mmCompetitorProd2Seg2Driver1">mmCompetitorData!$O$100</definedName>
    <definedName name="mmCompetitorProd2Seg2Driver2">mmCompetitorData!$O$101</definedName>
    <definedName name="mmCompetitorProd2Seg2Driver3">mmCompetitorData!$O$102</definedName>
    <definedName name="mmCompetitorProd2Seg2Driver4">mmCompetitorData!$O$103</definedName>
    <definedName name="mmCompetitorProd2Seg2Driver5">mmCompetitorData!$O$104</definedName>
    <definedName name="mmCompetitorProd2Seg2Driver6">mmCompetitorData!$O$105</definedName>
    <definedName name="mmCompetitorProd2Seg2RenRate">mmCompetitorData!$O$108</definedName>
    <definedName name="mmCompetitorProd2Seg2Share">mmCompetitorData!$O$27</definedName>
    <definedName name="mmCompetitorProd2Seg2TotalSubs">mmCompetitorData!$O$14</definedName>
    <definedName name="mmCompetitorProd3Seg1Driver1">mmCompetitorData!$O$113</definedName>
    <definedName name="mmCompetitorProd3Seg1Driver2">mmCompetitorData!$O$114</definedName>
    <definedName name="mmCompetitorProd3Seg1Driver3">mmCompetitorData!$O$115</definedName>
    <definedName name="mmCompetitorProd3Seg1Driver4">mmCompetitorData!$O$116</definedName>
    <definedName name="mmCompetitorProd3Seg1Driver5">mmCompetitorData!$O$117</definedName>
    <definedName name="mmCompetitorProd3Seg1Driver6">mmCompetitorData!$O$118</definedName>
    <definedName name="mmCompetitorProd3Seg1Share">mmCompetitorData!$O$33</definedName>
    <definedName name="mmCompetitorProd3Seg2Driver1">mmCompetitorData!$O$123</definedName>
    <definedName name="mmCompetitorProd3Seg2Driver2">mmCompetitorData!$O$124</definedName>
    <definedName name="mmCompetitorProd3Seg2Driver3">mmCompetitorData!$O$125</definedName>
    <definedName name="mmCompetitorProd3Seg2Driver4">mmCompetitorData!$O$126</definedName>
    <definedName name="mmCompetitorProd3Seg2Driver5">mmCompetitorData!$O$127</definedName>
    <definedName name="mmCompetitorProd3Seg2Driver6">mmCompetitorData!$O$128</definedName>
    <definedName name="mmCompetitorProd3Seg2Share">mmCompetitorData!$O$34</definedName>
    <definedName name="mmCompetitorProd3Seg3Driver1">mmCompetitorData!$O$133</definedName>
    <definedName name="mmCompetitorProd3Seg3Driver2">mmCompetitorData!$O$134</definedName>
    <definedName name="mmCompetitorProd3Seg3Driver3">mmCompetitorData!$O$135</definedName>
    <definedName name="mmCompetitorProd3Seg3Driver4">mmCompetitorData!$O$136</definedName>
    <definedName name="mmCompetitorProd3Seg3Driver5">mmCompetitorData!$O$137</definedName>
    <definedName name="mmCompetitorProd3Seg3Driver6">mmCompetitorData!$O$138</definedName>
    <definedName name="mmCompetitorProd3Seg3Share">mmCompetitorData!$O$35</definedName>
    <definedName name="mmCompetitorReg1Prod1Seg1Consumption">mmCompetitorData!$O$50</definedName>
    <definedName name="mmCompetitorReg1Prod1Seg1Driver1">mmCompetitorData!$O$40</definedName>
    <definedName name="mmCompetitorReg1Prod1Seg1Driver2">mmCompetitorData!$O$41</definedName>
    <definedName name="mmCompetitorReg1Prod1Seg1Driver3">mmCompetitorData!$O$42</definedName>
    <definedName name="mmCompetitorReg1Prod1Seg1Driver4">mmCompetitorData!$O$43</definedName>
    <definedName name="mmCompetitorReg1Prod1Seg1Driver5">mmCompetitorData!$O$44</definedName>
    <definedName name="mmCompetitorReg1Prod1Seg1Driver6">mmCompetitorData!$O$45</definedName>
    <definedName name="mmCompetitorReg1Prod1Seg1Driver7">mmCompetitorData!$O$46</definedName>
    <definedName name="mmCompetitorReg1Prod1Seg1Driver8">mmCompetitorData!$O$47</definedName>
    <definedName name="mmCompetitorReg1Prod1Seg1Prod1Capability">mmCompetitorData!$O$42</definedName>
    <definedName name="mmCompetitorReg1Prod1Seg1Prod2Capability">mmCompetitorData!$O$43</definedName>
    <definedName name="mmCompetitorReg1Prod1Seg1Prod3Capability">mmCompetitorData!$O$44</definedName>
    <definedName name="mmCompetitorReg1Prod1Seg1RenRate">mmCompetitorData!$O$50</definedName>
    <definedName name="mmCompetitorReg1Prod1Seg1Seats">mmCompetitorData!$O$6</definedName>
    <definedName name="mmCompetitorReg1Prod1Seg2Seats">mmCompetitorData!$O$7</definedName>
    <definedName name="mmCompetitorReg1Prod1Seg3Seats">mmCompetitorData!$O$8</definedName>
    <definedName name="mmCompetitorReg1Prod2Seg1Seats">mmCompetitorData!$O$13</definedName>
    <definedName name="mmCompetitorReg1Prod2Seg2Seats">mmCompetitorData!$O$14</definedName>
    <definedName name="mmSubProd1Seg1AttachSwitch">mmMarketSetup!$C$10</definedName>
    <definedName name="mmSubProd1Seg1BookingsBalancing">mmMarketSetup!$E$40:$H$40</definedName>
    <definedName name="mmSubProd1Seg1ContractLen">mmMarketSetup!$E$16</definedName>
    <definedName name="mmSubProd1Seg1EoPARRBalancing">mmMarketSetup!$E$43:$H$43</definedName>
    <definedName name="mmSubProd1Seg1FinModel">mmMarketSetup!$C$8</definedName>
    <definedName name="mmSubProd1Seg1NetARRBalancing">mmMarketSetup!$E$47:$H$47</definedName>
    <definedName name="mmSubProd1Seg1NewTAM">mmMarketSetup!$E$74:$H$74</definedName>
    <definedName name="mmSubProd1Seg1RevBalancing">mmMarketSetup!$E$28:$H$28</definedName>
    <definedName name="mmSubProd1Seg2AttachSwitch">mmMarketSetup!$C$80</definedName>
    <definedName name="mmSubProd1Seg2BookingsBalancing">mmMarketSetup!$E$109:$H$109</definedName>
    <definedName name="mmSubProd1Seg2ContractLen">mmMarketSetup!$E$85</definedName>
    <definedName name="mmSubProd1Seg2EoPARRBalancing">mmMarketSetup!$E$112:$H$112</definedName>
    <definedName name="mmSubProd1Seg2FinModel">mmMarketSetup!$C$78</definedName>
    <definedName name="mmSubProd1Seg2NetARRBalancing">mmMarketSetup!$E$116:$H$116</definedName>
    <definedName name="mmSubProd1Seg2NewTAM">mmMarketSetup!$E$143:$H$143</definedName>
    <definedName name="mmSubProd1Seg2RevBalancing">mmMarketSetup!$E$97:$H$97</definedName>
    <definedName name="mmSubProd1Seg3AttachSwitch">mmMarketSetup!$C$149</definedName>
    <definedName name="mmSubProd1Seg3BookingsBalancing">mmMarketSetup!$E$179:$H$179</definedName>
    <definedName name="mmSubProd1Seg3FinModel">mmMarketSetup!$C$147</definedName>
    <definedName name="mmSubProd1Seg3NewTAM">mmMarketSetup!$E$213:$H$213</definedName>
    <definedName name="mmSubProd1Seg3RevBalancing">mmMarketSetup!$E$167:$H$167</definedName>
    <definedName name="mmSubProd2Seg1AttachSwitch">mmMarketSetup!$C$219</definedName>
    <definedName name="mmSubProd2Seg1BookingsBalancing">mmMarketSetup!$E$249:$H$249</definedName>
    <definedName name="mmSubProd2Seg1ContractLen">mmMarketSetup!$E$225</definedName>
    <definedName name="mmSubProd2Seg1EoPARRBalancing">mmMarketSetup!$E$252:$H$252</definedName>
    <definedName name="mmSubProd2Seg1FinModel">mmMarketSetup!$C$217</definedName>
    <definedName name="mmSubProd2Seg1NetARRBalancing">mmMarketSetup!$E$256:$H$256</definedName>
    <definedName name="mmSubProd2Seg1NewTAM">mmMarketSetup!$E$283:$H$283</definedName>
    <definedName name="mmSubProd2Seg1RevBalancing">mmMarketSetup!$E$237:$H$237</definedName>
    <definedName name="mmSubProd2Seg2AttachSwitch">mmMarketSetup!$C$289</definedName>
    <definedName name="mmSubProd2Seg2BookingsBalancing">mmMarketSetup!$E$319:$H$319</definedName>
    <definedName name="mmSubProd2Seg2ContractLen">mmMarketSetup!$E$295</definedName>
    <definedName name="mmSubProd2Seg2EoPARRBalancing">mmMarketSetup!$E$322:$H$322</definedName>
    <definedName name="mmSubProd2Seg2FinModel">mmMarketSetup!$C$287</definedName>
    <definedName name="mmSubProd2Seg2NetARRBalancing">mmMarketSetup!$E$326:$H$326</definedName>
    <definedName name="mmSubProd2Seg2NewTAM">mmMarketSetup!$E$353:$H$353</definedName>
    <definedName name="mmSubProd2Seg2RevBalancing">mmMarketSetup!$E$307:$H$307</definedName>
    <definedName name="mmSubTeamsinMarket">mmMarketSetup!$C$4</definedName>
    <definedName name="NavCommercialDeselectedButton">Navigation!$C$13</definedName>
    <definedName name="NavCommercialRange1">Navigation!$C$17</definedName>
    <definedName name="NavCommercialRange2">Navigation!$C$19</definedName>
    <definedName name="NavCommercialRange3">Navigation!$C$21</definedName>
    <definedName name="NavCommercialRange4">Navigation!$C$23</definedName>
    <definedName name="NavCommercialRange5">Navigation!$C$25</definedName>
    <definedName name="NavCommercialSelectedButton">Navigation!$C$14</definedName>
    <definedName name="NavCommercialTotalButtons">Navigation!$C$11</definedName>
    <definedName name="NavConsumerDeselectedButton">Navigation!$C$33</definedName>
    <definedName name="NavConsumerRange1">Navigation!$C$37</definedName>
    <definedName name="NavConsumerRange2">Navigation!$C$39</definedName>
    <definedName name="NavConsumerRange3">Navigation!$C$41</definedName>
    <definedName name="NavConsumerRange4">Navigation!$C$43</definedName>
    <definedName name="NavConsumerSelectedButton">Navigation!$C$34</definedName>
    <definedName name="NavConsumerTotalButtons">Navigation!$C$31</definedName>
    <definedName name="NavEGDeselectedButton">Navigation!$C$71</definedName>
    <definedName name="NavEGRange1">Navigation!$C$75</definedName>
    <definedName name="NavEGRange2">Navigation!$C$77</definedName>
    <definedName name="NavEGRange3">Navigation!$C$79</definedName>
    <definedName name="NavEGRange4">Navigation!$C$81</definedName>
    <definedName name="NavEGSelectedButton">Navigation!$C$72</definedName>
    <definedName name="NavEGTotalButtons">Navigation!$C$69</definedName>
    <definedName name="NavGSMODeselectedButton">Navigation!$C$6</definedName>
    <definedName name="NavGSMOSelectedButton">Navigation!$C$7</definedName>
    <definedName name="NavGSMOTotalButtons">Navigation!$C$4</definedName>
    <definedName name="NavOpsDeselectedButton">Navigation!$C$51</definedName>
    <definedName name="NavOpsRange1">Navigation!$C$54</definedName>
    <definedName name="NavOpsRange2">Navigation!$C$56</definedName>
    <definedName name="NavOpsRange3">Navigation!$C$58</definedName>
    <definedName name="NavOpsRange4">Navigation!$C$60</definedName>
    <definedName name="NavOpsRange5">Navigation!$C$62</definedName>
    <definedName name="NavOpsRange6">Navigation!$C$64</definedName>
    <definedName name="NavOpsSelectedButton">Navigation!$C$52</definedName>
    <definedName name="NavOpsTotalButtons">Navigation!$C$49</definedName>
    <definedName name="Nimbus">Cbal!$F$7:$O$7</definedName>
    <definedName name="nmCOGS">Glossary!$D$40</definedName>
    <definedName name="nmForecast">Glossary!$D$33</definedName>
    <definedName name="nmGrossMargin">Glossary!$D$42</definedName>
    <definedName name="nmGrossProfit">Glossary!$D$41</definedName>
    <definedName name="nmInitiatives">Glossary!$D$37</definedName>
    <definedName name="nmMarketing">Glossary!$D$35</definedName>
    <definedName name="nmMillion">Glossary!$D$16</definedName>
    <definedName name="nmPartner1">Glossary!$D$44</definedName>
    <definedName name="nmPartner2">Glossary!$D$45</definedName>
    <definedName name="nmPartner3">Glossary!$D$46</definedName>
    <definedName name="nmPartner4">Glossary!$D$47</definedName>
    <definedName name="nmPartner5">Glossary!$D$48</definedName>
    <definedName name="nmPartner6">Glossary!$D$49</definedName>
    <definedName name="nmPrice">Glossary!$D$34</definedName>
    <definedName name="nmProd1">Glossary!$D$18</definedName>
    <definedName name="nmProd1Offering1">Glossary!$D$60</definedName>
    <definedName name="nmProd1Offering2">Glossary!$D$61</definedName>
    <definedName name="nmProd1Seg1">Glossary!$D$19</definedName>
    <definedName name="nmProd1Seg2">Glossary!$D$20</definedName>
    <definedName name="nmProd1Seg3">Glossary!$D$21</definedName>
    <definedName name="nmProd2">Glossary!$D$23</definedName>
    <definedName name="nmProd2Offering1">Glossary!$D$62</definedName>
    <definedName name="nmProd2Offering2">Glossary!$D$63</definedName>
    <definedName name="nmProd2Offering3">Glossary!$D$64</definedName>
    <definedName name="nmProd2Seg1">Glossary!$D$24</definedName>
    <definedName name="nmProd2Seg2">Glossary!$D$25</definedName>
    <definedName name="nmProd2Seg3">Glossary!$D$26</definedName>
    <definedName name="nmProd3">Glossary!$D$28</definedName>
    <definedName name="nmProd3Offering1">Glossary!$D$65</definedName>
    <definedName name="nmProd3Offering2">Glossary!$D$66</definedName>
    <definedName name="nmProd3Offering3">Glossary!$D$67</definedName>
    <definedName name="nmProd3Seg1">Glossary!$D$29</definedName>
    <definedName name="nmProd3Seg2">Glossary!$D$30</definedName>
    <definedName name="nmProd3Seg3">Glossary!$D$31</definedName>
    <definedName name="nmProgramSubtitle">Glossary!$D$11</definedName>
    <definedName name="nmProgramTitle">Glossary!$D$10</definedName>
    <definedName name="nmRevenue">Glossary!$D$39</definedName>
    <definedName name="nmRound">Glossary!$D$14</definedName>
    <definedName name="nmSeg1">Glossary!$D$51</definedName>
    <definedName name="nmSeg2">Glossary!$D$52</definedName>
    <definedName name="nmSeg3">Glossary!$D$53</definedName>
    <definedName name="nmSkill1">Glossary!$D$55</definedName>
    <definedName name="nmSkill2">Glossary!$D$56</definedName>
    <definedName name="nmSkill3">Glossary!$D$57</definedName>
    <definedName name="nmSkill4">Glossary!$D$58</definedName>
    <definedName name="nmSolutionArea1">Glossary!$D$69</definedName>
    <definedName name="nmSolutionArea2">Glossary!$D$70</definedName>
    <definedName name="nmSolutionArea3">Glossary!$D$71</definedName>
    <definedName name="nmTeamName">Glossary!$D$12</definedName>
    <definedName name="nmTeamNumber">Glossary!$D$13</definedName>
    <definedName name="obal_End">Obal!$E$291</definedName>
    <definedName name="obal_Paste">Obal!$E$6:$N$6</definedName>
    <definedName name="obal_ResetR0">Obal!$Q$6:$Q$291</definedName>
    <definedName name="obalAvgConsumption">Obal!$E$187:$N$187</definedName>
    <definedName name="obalAvgRenRate">Obal!$E$196:$N$196</definedName>
    <definedName name="obalCloudAdoption">Obal!$E$178:$N$178</definedName>
    <definedName name="obalCollab">Obal!$E$261:$N$261</definedName>
    <definedName name="obalCommercialDirectSalesFTEs">Obal!$E$73:$N$73</definedName>
    <definedName name="obalCommercialInsideSalesFTEs">Obal!$E$74:$N$74</definedName>
    <definedName name="obalCommercialPartner1Budget">Obal!$E$97:$N$97</definedName>
    <definedName name="obalCommercialPartner1FTEs">Obal!$E$103:$N$103</definedName>
    <definedName name="obalCommercialPartner1Pct">Obal!$E$91:$N$91</definedName>
    <definedName name="obalCommercialPartner2Budget">Obal!$E$98:$N$98</definedName>
    <definedName name="obalCommercialPartner2FTEs">Obal!$E$104:$N$104</definedName>
    <definedName name="obalCommercialPartner2Pct">Obal!$E$92:$N$92</definedName>
    <definedName name="obalCommercialPartner3Budget">Obal!$E$99:$N$99</definedName>
    <definedName name="obalCommercialPartner3FTEs">Obal!$E$105:$N$105</definedName>
    <definedName name="obalCommercialPartner3Pct">Obal!$E$93:$N$93</definedName>
    <definedName name="obalCommercialPartner4Budget">Obal!$E$100:$N$100</definedName>
    <definedName name="obalCommercialPartner4FTEs">Obal!$E$106:$N$106</definedName>
    <definedName name="obalCommercialPartner4Pct">Obal!$E$94:$N$94</definedName>
    <definedName name="obalCommercialPartnerDevelopment">Obal!$E$87:$N$87</definedName>
    <definedName name="obalCommercialPartnerEducation">Obal!$E$89:$N$89</definedName>
    <definedName name="obalCommercialPartnerIncentives">Obal!$E$88:$N$88</definedName>
    <definedName name="obalCommercialProd1Marketing">Obal!$E$83:$N$83</definedName>
    <definedName name="obalCommercialProd1MarketingPct">Obal!$E$78:$N$78</definedName>
    <definedName name="obalCommercialProd1Price">Obal!$E$65:$N$65</definedName>
    <definedName name="obalCommercialProd2Marketing">Obal!$E$84:$N$84</definedName>
    <definedName name="obalCommercialProd2MarketingPct">Obal!$E$79:$N$79</definedName>
    <definedName name="obalCommercialProd2Price">Obal!$E$66:$N$66</definedName>
    <definedName name="obalCommercialProd3Marketing">Obal!$E$85:$N$85</definedName>
    <definedName name="obalCommercialProd3MarketingPct">Obal!$E$80:$N$80</definedName>
    <definedName name="obalCommercialProd3Price">Obal!$E$67:$N$67</definedName>
    <definedName name="obalCommercialServicesFTEs">Obal!$E$75:$N$75</definedName>
    <definedName name="obalCommercialSkill1">Obal!$E$69:$N$69</definedName>
    <definedName name="obalCommercialSkill2">Obal!$E$70:$N$70</definedName>
    <definedName name="obalCommercialSkill3">Obal!$E$71:$N$71</definedName>
    <definedName name="obalCommercialTotalMarketing">Obal!$E$82:$N$82</definedName>
    <definedName name="obalCommercialTotalMarketingPct">Obal!$E$77:$N$77</definedName>
    <definedName name="obalCommercialTotalPartnerBudget">Obal!$E$96:$N$96</definedName>
    <definedName name="obalCommercialTotalPartnerFTEs">Obal!$E$102:$N$102</definedName>
    <definedName name="obalConsumerDirectSalesFTEs">Obal!$E$115:$N$115</definedName>
    <definedName name="obalConsumerInsideSalesFTEs">Obal!$E$116:$N$116</definedName>
    <definedName name="obalConsumerPartner4Budget">Obal!$E$136:$N$136</definedName>
    <definedName name="obalConsumerPartner4Pct">Obal!$E$131:$N$131</definedName>
    <definedName name="obalConsumerPartner5Budget">Obal!$E$137:$N$137</definedName>
    <definedName name="obalConsumerPartner5Pct">Obal!$E$132:$N$132</definedName>
    <definedName name="obalConsumerPartner6Budget">Obal!$E$138:$N$138</definedName>
    <definedName name="obalConsumerPartner6Pct">Obal!$E$133:$N$133</definedName>
    <definedName name="obalConsumerPartnerDevelopment">Obal!$E$127:$N$127</definedName>
    <definedName name="obalConsumerPartnerEducation">Obal!$E$129:$N$129</definedName>
    <definedName name="obalConsumerPartnerIncentives">Obal!$E$128:$N$128</definedName>
    <definedName name="obalConsumerProd1Marketing">Obal!$E$124:$N$124</definedName>
    <definedName name="obalConsumerProd1MarketingPct">Obal!$E$120:$N$120</definedName>
    <definedName name="obalConsumerProd1Price">Obal!$E$109:$N$109</definedName>
    <definedName name="obalConsumerProd3Marketing">Obal!$E$125:$N$125</definedName>
    <definedName name="obalConsumerProd3MarketingPct">Obal!$E$121:$N$121</definedName>
    <definedName name="obalConsumerProd3Price">Obal!$E$110:$N$110</definedName>
    <definedName name="obalConsumerServicesFTEs">Obal!$E$117:$N$117</definedName>
    <definedName name="obalConsumerSkill1">Obal!$E$112:$N$112</definedName>
    <definedName name="obalConsumerSkill2">Obal!$E$113:$N$113</definedName>
    <definedName name="obalConsumerTotalMarketing">Obal!$E$123:$N$123</definedName>
    <definedName name="obalConsumerTotalMarketingPct">Obal!$E$119:$N$119</definedName>
    <definedName name="obalConsumerTotalPartnerBudget">Obal!$E$135:$N$135</definedName>
    <definedName name="obalCPE">Obal!$E$260:$N$260</definedName>
    <definedName name="obalCustSuccess">Obal!$E$250:$N$250</definedName>
    <definedName name="obalCustSuccessCSAT">Obal!$E$248:$N$248</definedName>
    <definedName name="obalCustSuccessEE">Obal!$E$249:$N$249</definedName>
    <definedName name="obalCustSuccessOpMargin">Obal!$E$247:$N$247</definedName>
    <definedName name="obalCustSuccessRev">Obal!$E$246:$N$246</definedName>
    <definedName name="obalEGInteroperability">Obal!$E$40:$N$40</definedName>
    <definedName name="obalEGInteroperabilityDec">Obal!$E$53:$N$53</definedName>
    <definedName name="obalEGProd1Offering1">Obal!$E$42:$N$42</definedName>
    <definedName name="obalEGProd1Offering1Dec">Obal!$E$55:$N$55</definedName>
    <definedName name="obalEGProd1Offering2">Obal!$E$43:$N$43</definedName>
    <definedName name="obalEGProd1Offering2Dec">Obal!$E$56:$N$56</definedName>
    <definedName name="obalEGProd2Offering1">Obal!$E$45:$N$45</definedName>
    <definedName name="obalEGProd2Offering1Dec">Obal!$E$58:$N$58</definedName>
    <definedName name="obalEGProd2Offering2">Obal!$E$46:$N$46</definedName>
    <definedName name="obalEGProd2Offering2Dec">Obal!$E$59:$N$59</definedName>
    <definedName name="obalEGProd3Offering1">Obal!$E$48:$N$48</definedName>
    <definedName name="obalEGProd3Offering1Dec">Obal!$E$61:$N$61</definedName>
    <definedName name="obalEGProd3Offering2">Obal!$E$49:$N$49</definedName>
    <definedName name="obalEGProd3Offering2Dec">Obal!$E$62:$N$62</definedName>
    <definedName name="obalEGScalability">Obal!$E$39:$N$39</definedName>
    <definedName name="obalEGScalabilityDec">Obal!$E$52:$N$52</definedName>
    <definedName name="obalEGSecurity">Obal!$E$38:$N$38</definedName>
    <definedName name="obalEGSecurityDec">Obal!$E$51:$N$51</definedName>
    <definedName name="obalETUs">Obal!$E$13:$N$13</definedName>
    <definedName name="obalExecution">Obal!$E$11:$N$11</definedName>
    <definedName name="obalHeadcount">Obal!$E$10:$N$10</definedName>
    <definedName name="obalInternalReadiness">Obal!$E$262:$N$262</definedName>
    <definedName name="obalNewHireProductivity">Obal!$E$12:$N$12</definedName>
    <definedName name="obalOpsCollabFTEs">Obal!$E$27:$N$27</definedName>
    <definedName name="obalOpsDataCenter">Obal!$E$33:$N$33</definedName>
    <definedName name="obalOpsDataCenterUtilization">Obal!$E$35:$N$35</definedName>
    <definedName name="obalOpsDataCenterValue">Obal!$E$34:$N$34</definedName>
    <definedName name="obalOpsGlobalDemandCenterFTEs">Obal!$E$30:$N$30</definedName>
    <definedName name="obalOpsITFTEs">Obal!$E$29:$N$29</definedName>
    <definedName name="obalOpsProd1Seg1Share">Obal!$E$16:$N$16</definedName>
    <definedName name="obalOpsProd1Seg2Share">Obal!$E$17:$N$17</definedName>
    <definedName name="obalOpsProd1Seg3Share">Obal!$E$18:$N$18</definedName>
    <definedName name="obalOpsProd2Seg1Share">Obal!$E$19:$N$19</definedName>
    <definedName name="obalOpsProd2Seg2Share">Obal!$E$20:$N$20</definedName>
    <definedName name="obalOpsProd3Seg1Share">Obal!$E$21:$N$21</definedName>
    <definedName name="obalOpsProd3Seg2Share">Obal!$E$22:$N$22</definedName>
    <definedName name="obalOpsProd3Seg3Share">Obal!$E$23:$N$23</definedName>
    <definedName name="obalOpsSupplyChainFTEs">Obal!$E$31:$N$31</definedName>
    <definedName name="obalOpsTotalMarketing">Obal!$E$25:$N$25</definedName>
    <definedName name="ObalPaste">Obal!$E$4:$E$290</definedName>
    <definedName name="obalProd1BaseNewCOGS">Obal!$E$199:$N$199</definedName>
    <definedName name="obalProd1BaseRenewalCOGS">Obal!$E$200:$N$200</definedName>
    <definedName name="obalProd1Seg1CloudAdoption">Obal!$E$174:$N$174</definedName>
    <definedName name="obalProd1Seg1Consumption">Obal!$E$181:$N$181</definedName>
    <definedName name="obalProd1Seg1DefRev">Obal!$E$224:$N$224</definedName>
    <definedName name="obalProd1Seg1NewServicesCust">Obal!$E$207:$N$207</definedName>
    <definedName name="obalProd1Seg1NewSubs">Obal!$E$146:$N$146</definedName>
    <definedName name="obalProd1Seg1NonCloudSubs">Obal!$E$169:$N$169</definedName>
    <definedName name="obalProd1Seg1RenewedServicesCust">Obal!$E$208:$N$208</definedName>
    <definedName name="obalProd1Seg1RenewedSubs">Obal!$E$147:$N$147</definedName>
    <definedName name="obalProd1Seg1RenRate">Obal!$E$190:$N$190</definedName>
    <definedName name="obalProd1Seg1ServicesAttachRate">Obal!$E$232:$N$232</definedName>
    <definedName name="obalProd1Seg1ServicesRenRate">Obal!$E$239:$N$239</definedName>
    <definedName name="obalProd1Seg1TotalServicesCust">Obal!$E$209:$N$209</definedName>
    <definedName name="obalProd1Seg1TotalSubs">Obal!$E$148:$N$148</definedName>
    <definedName name="obalProd1Seg2CloudAdoption">Obal!$E$175:$N$175</definedName>
    <definedName name="obalProd1Seg2Consumption">Obal!$E$182:$N$182</definedName>
    <definedName name="obalProd1Seg2DefRev">Obal!$E$225:$N$225</definedName>
    <definedName name="obalProd1Seg2NewServicesCust">Obal!$E$211:$N$211</definedName>
    <definedName name="obalProd1Seg2NewSubs">Obal!$E$150:$N$150</definedName>
    <definedName name="obalProd1Seg2NonCloudSubs">Obal!$E$170:$N$170</definedName>
    <definedName name="obalProd1Seg2RenewedServicesCust">Obal!$E$212:$N$212</definedName>
    <definedName name="obalProd1Seg2RenewedSubs">Obal!$E$151:$N$151</definedName>
    <definedName name="obalProd1Seg2RenRate">Obal!$E$191:$N$191</definedName>
    <definedName name="obalProd1Seg2ServicesAttachRate">Obal!$E$233:$N$233</definedName>
    <definedName name="obalProd1Seg2ServicesRenRate">Obal!$E$240:$N$240</definedName>
    <definedName name="obalProd1Seg2TotalServicesCust">Obal!$E$213:$N$213</definedName>
    <definedName name="obalProd1Seg2TotalSubs">Obal!$E$152:$N$152</definedName>
    <definedName name="obalProd1Seg3CloudAdoption">Obal!$E$176:$N$176</definedName>
    <definedName name="obalProd1Seg3Consumption">Obal!$E$183:$N$183</definedName>
    <definedName name="obalProd1Seg3DefRev">Obal!$E$226:$N$226</definedName>
    <definedName name="obalProd1Seg3NewSubs">Obal!$E$154:$N$154</definedName>
    <definedName name="obalProd1Seg3NonCloudSubs">Obal!$E$171:$N$171</definedName>
    <definedName name="obalProd1Seg3RenewedSubs">Obal!$E$155:$N$155</definedName>
    <definedName name="obalProd1Seg3RenRate">Obal!$E$192:$N$192</definedName>
    <definedName name="obalProd1Seg3TotalSubs">Obal!$E$156:$N$156</definedName>
    <definedName name="obalProd2BaseNewCOGS">Obal!$E$201:$N$201</definedName>
    <definedName name="obalProd2BaseRenewalCOGS">Obal!$E$202:$N$202</definedName>
    <definedName name="obalProd2Seg1Consumption">Obal!$E$184:$N$184</definedName>
    <definedName name="obalProd2Seg1DefRev">Obal!$E$228:$N$228</definedName>
    <definedName name="obalProd2Seg1NewServicesCust">Obal!$E$215:$N$215</definedName>
    <definedName name="obalProd2Seg1NewSubs">Obal!$E$158:$N$158</definedName>
    <definedName name="obalProd2Seg1RenewedServicesCust">Obal!$E$216:$N$216</definedName>
    <definedName name="obalProd2Seg1RenewedSubs">Obal!$E$159:$N$159</definedName>
    <definedName name="obalProd2Seg1RenRate">Obal!$E$193:$N$193</definedName>
    <definedName name="obalProd2Seg1ServicesAttachRate">Obal!$E$235:$N$235</definedName>
    <definedName name="obalProd2Seg1ServicesRenRate">Obal!$E$242:$N$242</definedName>
    <definedName name="obalProd2Seg1TotalServicesCust">Obal!$E$217:$N$217</definedName>
    <definedName name="obalProd2Seg1TotalSubs">Obal!$E$160:$N$160</definedName>
    <definedName name="obalProd2Seg2Consumption">Obal!$E$185:$N$185</definedName>
    <definedName name="obalProd2Seg2DefRev">Obal!$E$229:$N$229</definedName>
    <definedName name="obalProd2Seg2NewServicesCust">Obal!$E$219:$N$219</definedName>
    <definedName name="obalProd2Seg2NewSubs">Obal!$E$162:$N$162</definedName>
    <definedName name="obalProd2Seg2RenewedServicesCust">Obal!$E$220:$N$220</definedName>
    <definedName name="obalProd2Seg2RenewedSubs">Obal!$E$163:$N$163</definedName>
    <definedName name="obalProd2Seg2RenRate">Obal!$E$194:$N$194</definedName>
    <definedName name="obalProd2Seg2ServicesAttachRate">Obal!$E$236:$N$236</definedName>
    <definedName name="obalProd2Seg2ServicesRenRate">Obal!$E$243:$N$243</definedName>
    <definedName name="obalProd2Seg2TotalServicesCust">Obal!$E$221:$N$221</definedName>
    <definedName name="obalProd2Seg2TotalSubs">Obal!$E$164:$N$164</definedName>
    <definedName name="obalProd3BaseLaborCOGS">Obal!$E$204:$N$204</definedName>
    <definedName name="obalProd3BaseMatCOGS">Obal!$E$203:$N$203</definedName>
    <definedName name="obalTeamName">Obal!$E$7:$N$7</definedName>
    <definedName name="obalTotalCloudSubs">Obal!$E$166:$N$166</definedName>
    <definedName name="obalTotalRev">Obal!$E$263:$N$263</definedName>
    <definedName name="obalTotalRevGrowth">Obal!$E$264:$N$264</definedName>
    <definedName name="obalTotalScore">Obal!$E$265:$N$265</definedName>
    <definedName name="obalWHI">Obal!$E$259:$N$259</definedName>
    <definedName name="obalWobbler1R1">Obal!$E$268:$N$268</definedName>
    <definedName name="obalWobbler1R2">Obal!$E$276:$N$276</definedName>
    <definedName name="obalWobbler1R3">Obal!$E$283:$N$283</definedName>
    <definedName name="obalWobbler2R1">Obal!$E$269:$N$269</definedName>
    <definedName name="obalWobbler2R2">Obal!$E$277:$N$277</definedName>
    <definedName name="obalWobbler2R3">Obal!$E$284:$N$284</definedName>
    <definedName name="obalWobbler3R1">Obal!$E$270:$N$270</definedName>
    <definedName name="obalWobbler3R2">Obal!$E$278:$N$278</definedName>
    <definedName name="obalWobbler3R3">Obal!$E$285:$N$285</definedName>
    <definedName name="obalWobbler4R1">Obal!$E$271:$N$271</definedName>
    <definedName name="obalWobbler4R2">Obal!$E$279:$N$279</definedName>
    <definedName name="obalWobbler4R3">Obal!$E$286:$N$286</definedName>
    <definedName name="obalWobbler5R1">Obal!$E$272:$N$272</definedName>
    <definedName name="obalWobbler5R2">Obal!$E$280:$N$280</definedName>
    <definedName name="obalWobbler5R3">Obal!$E$287:$N$287</definedName>
    <definedName name="obalWobbler6R1">Obal!$E$273:$N$273</definedName>
    <definedName name="obalWobbler6R2">Obal!$E$281:$N$281</definedName>
    <definedName name="obalWobbler6R3">Obal!$E$288:$N$288</definedName>
    <definedName name="obalWobbler7R1">Obal!$E$274:$N$274</definedName>
    <definedName name="obalWobbler7R2">Obal!$E$282:$N$282</definedName>
    <definedName name="obalWobbler7R3">Obal!$E$289:$N$289</definedName>
    <definedName name="obalWobbler8R1">Obal!$E$275:$N$275</definedName>
    <definedName name="paramChallengeCollaboration">param!$E$28:$N$28</definedName>
    <definedName name="paramChallengeCosts">param!$E$9:$N$9</definedName>
    <definedName name="paramChallengeCPE">param!$E$10:$N$10</definedName>
    <definedName name="paramChallengeCustSuccessCSAT">param!$E$15:$N$15</definedName>
    <definedName name="paramChallengeCustSuccessOpMargin">param!$E$14:$N$14</definedName>
    <definedName name="paramChallengeCustSuccessRev">param!$E$13:$N$13</definedName>
    <definedName name="paramChallengeCustSuccessWHI">param!$E$16:$N$16</definedName>
    <definedName name="paramChallengeExecution">param!$E$12:$N$12</definedName>
    <definedName name="paramChallengeFTEs">param!$E$8:$N$8</definedName>
    <definedName name="paramChallengeProd1Seg1COGS">param!$E$19:$N$19</definedName>
    <definedName name="paramChallengeProd1Seg1Consumption">param!$E$17:$N$17</definedName>
    <definedName name="paramChallengeProd1Seg1Revenue">param!$E$18:$N$18</definedName>
    <definedName name="paramChallengeProd2CloudAdoption">param!$E$23:$N$23</definedName>
    <definedName name="paramChallengeProd2Seg1COGS">param!$E$22:$N$22</definedName>
    <definedName name="paramChallengeProd2Seg1Consumption">param!$E$20:$N$20</definedName>
    <definedName name="paramChallengeProd2Seg1Revenue">param!$E$21:$N$21</definedName>
    <definedName name="paramChallengeProd3Offering2">param!$E$26:$N$26</definedName>
    <definedName name="paramChallengeProd3Seg3COGS">param!$E$25:$N$25</definedName>
    <definedName name="paramChallengeProd3Seg3Revenue">param!$E$27:$N$27</definedName>
    <definedName name="paramChallengeWHI">param!$E$11:$N$11</definedName>
    <definedName name="paramDataCenterCost">param!$E$57:$N$57</definedName>
    <definedName name="paramDirectSalesSalary">param!$E$31:$N$31</definedName>
    <definedName name="paramEGOfferingCOGSPLevel">param!$E$47:$N$47</definedName>
    <definedName name="paramEGPlatformCOGSPLevel">param!$E$46:$N$46</definedName>
    <definedName name="paramFixedPartnerBudget">param!$E$56:$N$56</definedName>
    <definedName name="paramHireDismissExpense">param!$E$58:$N$58</definedName>
    <definedName name="paramInsideSalesSalary">param!$E$32:$N$32</definedName>
    <definedName name="paramNewDataCenterExp">param!$E$57:$N$57</definedName>
    <definedName name="paramOpsSalary">param!$E$34:$N$34</definedName>
    <definedName name="paramPartnerSalary">param!$E$35:$N$35</definedName>
    <definedName name="paramProd1COGSPNewUnit">param!$E$39:$N$39</definedName>
    <definedName name="paramProd1COGSPNonCloudUnit">param!$E$45:$N$45</definedName>
    <definedName name="paramProd1COGSPRenewalUnit">param!$E$41:$N$41</definedName>
    <definedName name="paramProd1NonCloudLifetime">param!$E$61:$N$61</definedName>
    <definedName name="paramProd2COGSPNewUnit">param!$E$40:$N$40</definedName>
    <definedName name="paramProd2COGSPRenewalUnit">param!$E$42:$N$42</definedName>
    <definedName name="paramProd3LaborCOGSPNewUnit">param!$E$44:$N$44</definedName>
    <definedName name="paramProd3Lifetime">param!$E$60:$N$60</definedName>
    <definedName name="paramProd3MatCOGSPNewUnit">param!$E$43:$N$43</definedName>
    <definedName name="paramSeg1SubsPCustomer">param!$E$50:$N$50</definedName>
    <definedName name="paramSeg2SubsPCustomer">param!$E$51:$N$51</definedName>
    <definedName name="paramServicesCOGS">param!$E$53:$N$53</definedName>
    <definedName name="paramServicesPrice">param!$E$52:$N$52</definedName>
    <definedName name="paramServicesSalary">param!$E$33:$N$33</definedName>
    <definedName name="paramUnallocatedSalary">param!$E$36:$N$36</definedName>
    <definedName name="paramWACC">param!$E$59:$N$59</definedName>
    <definedName name="Ping">Glossary!$C$67</definedName>
    <definedName name="PopupWobbler_Round">Popup_Wobbler!$C$16</definedName>
    <definedName name="PopupWobbler_Sim0Tool1">Popup_Wobbler!$C$17</definedName>
    <definedName name="PopupWobbler_Timer">Popup_Wobbler!$C$156</definedName>
    <definedName name="PopupWobblerColorHeader">Popup_Wobbler!$C$22</definedName>
    <definedName name="PopupWobblerColorMouseMove">Popup_Wobbler!$C$24</definedName>
    <definedName name="PopupWobblerColorSelect">Popup_Wobbler!$C$25</definedName>
    <definedName name="PopupWobblerFontColor">Popup_Wobbler!$C$23</definedName>
    <definedName name="PopupWobblerShowAll">Popup_Wobbler!$C$28</definedName>
    <definedName name="RankCollaboration">calcCLV!$E$336:$E$336</definedName>
    <definedName name="RankCommercialCLV">calcCLV!$E$324:$E$324</definedName>
    <definedName name="RankConsumerCLV">calcCLV!$E$325:$E$325</definedName>
    <definedName name="RankCPA">calcCLV!$E$335:$E$335</definedName>
    <definedName name="RankProd1Seg1CLV">calcCLV!$E$326:$E$326</definedName>
    <definedName name="RankProd1Seg2CLV">calcCLV!$E$327:$E$327</definedName>
    <definedName name="RankProd1Seg3CLV">calcCLV!$E$328:$E$328</definedName>
    <definedName name="RankProd2Seg1CLV">calcCLV!$E$329:$E$329</definedName>
    <definedName name="RankProd2Seg2CLV">calcCLV!$E$330:$E$330</definedName>
    <definedName name="RankProd3Seg1CLV">calcCLV!$E$331:$E$331</definedName>
    <definedName name="RankProd3Seg2CLV">calcCLV!$E$332:$E$332</definedName>
    <definedName name="RankProd3Seg3CLV">calcCLV!$E$333:$E$333</definedName>
    <definedName name="RankTotalCLV">calcCLV!$E$323:$E$323</definedName>
    <definedName name="RankWHI">calcCLV!$E$334:$E$334</definedName>
    <definedName name="ScreentlInputCommercial">tlInputCommercial!$X$11</definedName>
    <definedName name="ScreentlInputConsumer">tlInputConsumer!$V$11</definedName>
    <definedName name="ScreentlInputEG">tlInputEG!$V$11</definedName>
    <definedName name="ScreentlInputIntro">tlInputIntro!$Z$2</definedName>
    <definedName name="ScreentlInputOps">tlInputOps!$AB$11</definedName>
    <definedName name="ScreentlInputPNL">tlInputPNL!$V$5</definedName>
    <definedName name="sim_OnResetGoTo">Controls!$D$29</definedName>
    <definedName name="tableKnownX1">LookupTable!$B$14:$B$25</definedName>
    <definedName name="tableKnownY1">LookupTable!$C$14:$C$25</definedName>
    <definedName name="tblMMProd1Drivers">Data!$B$185:$G$192</definedName>
    <definedName name="tblMMProd2Drivers">Data!$B$199:$F$204</definedName>
    <definedName name="tblMMProd3Drivers">Data!$B$211:$G$216</definedName>
    <definedName name="Team_1">calcEndingLevels!$E$2</definedName>
    <definedName name="TestAuto_Names">DataValidation!$C$24:$C$88</definedName>
    <definedName name="TestAuto_OutputMetrics">TestAuto!$E$31:$E$45</definedName>
    <definedName name="TestAuto_Types">DataValidation!$E$24:$E$88</definedName>
    <definedName name="TestAuto_Values">DataValidation!$G$24:$H$88</definedName>
    <definedName name="tlCalibrateObal">Obal!$E$2</definedName>
    <definedName name="tlInputCommercialCloudMigration">tlInputCommercial!$D$134</definedName>
    <definedName name="tlInputCommercialDirectSalesFTEs">tlInputCommercial!$D$93</definedName>
    <definedName name="tlInputCommercialInsideSalesFTEs">tlInputCommercial!$H$93</definedName>
    <definedName name="tlInputCommercialPartner1Pct">tlInputCommercial!$D$114</definedName>
    <definedName name="tlInputCommercialPartner2Pct">tlInputCommercial!$H$114</definedName>
    <definedName name="tlInputCommercialPartner3Pct">tlInputCommercial!$L$114</definedName>
    <definedName name="tlInputCommercialPartner4Pct">tlInputCommercial!$P$114</definedName>
    <definedName name="tlInputCommercialPartnerDevelopment">btnLevel!$N$36</definedName>
    <definedName name="tlInputCommercialPartnerEducation">btnLevel!$N$40</definedName>
    <definedName name="tlInputCommercialPartnerIncentives">btnLevel!$N$38</definedName>
    <definedName name="tlInputCommercialProd1Price">btnLevel!$N$74</definedName>
    <definedName name="tlInputCommercialProd1Seg1Share">tlInputCommercial!$F$32</definedName>
    <definedName name="tlInputCommercialProd1Seg2Share">tlInputCommercial!$F$46</definedName>
    <definedName name="tlInputCommercialProd2Price">btnLevel!$N$76</definedName>
    <definedName name="tlInputCommercialProd2Seg1Share">tlInputCommercial!$F$35</definedName>
    <definedName name="tlInputCommercialProd2Seg2Share">tlInputCommercial!$F$49</definedName>
    <definedName name="tlInputCommercialProd3Price">btnLevel!$N$78</definedName>
    <definedName name="tlInputCommercialProd3Seg1Share">tlInputCommercial!$F$38</definedName>
    <definedName name="tlInputCommercialProd3Seg2Share">tlInputCommercial!$F$52</definedName>
    <definedName name="tlInputCommercialServicesFTEs">tlInputCommercial!$L$93</definedName>
    <definedName name="tlInputCommercialSkill1">btnLevel!$N$66</definedName>
    <definedName name="tlInputCommercialSkill2">btnLevel!$N$68</definedName>
    <definedName name="tlInputCommercialSkill3">btnLevel!$N$70</definedName>
    <definedName name="tlInputConsumerDirectSalesFTEs">tlInputConsumer!$D$69</definedName>
    <definedName name="tlInputConsumerInsideSalesFTEs">tlInputConsumer!$H$69</definedName>
    <definedName name="tlInputConsumerPartner4Pct">tlInputConsumer!$D$89</definedName>
    <definedName name="tlInputConsumerPartner5Pct">tlInputConsumer!$H$89</definedName>
    <definedName name="tlInputConsumerPartner6Pct">tlInputConsumer!$L$89</definedName>
    <definedName name="tlInputConsumerPartnerDevelopment">btnLevel!$N$84</definedName>
    <definedName name="tlInputConsumerPartnerEducation">btnLevel!$N$88</definedName>
    <definedName name="tlInputConsumerPartnerIncentives">btnLevel!$N$86</definedName>
    <definedName name="tlInputConsumerProd1Price">btnLevel!$N$80</definedName>
    <definedName name="tlInputConsumerProd1Seg3Share">tlInputConsumer!$D$26</definedName>
    <definedName name="tlInputConsumerProd3Price">btnLevel!$N$82</definedName>
    <definedName name="tlInputConsumerProd3Seg3Share">tlInputConsumer!$D$32</definedName>
    <definedName name="tlInputConsumerServicesFTEs">tlInputConsumer!$L$69</definedName>
    <definedName name="tlInputConsumerSkill1">btnLevel!$N$90</definedName>
    <definedName name="tlInputConsumerSkill2">btnLevel!$N$92</definedName>
    <definedName name="tlInputEGDesign">btnLevel!$N$48</definedName>
    <definedName name="tlInputEGInteroperability">btnLevel!$N$46</definedName>
    <definedName name="tlInputEGProd1Offering1">btnLevel!$N$50</definedName>
    <definedName name="tlInputEGProd1Offering2">btnLevel!$N$52</definedName>
    <definedName name="tlInputEGProd2Offering1">btnLevel!$N$54</definedName>
    <definedName name="tlInputEGProd2Offering2">btnLevel!$N$56</definedName>
    <definedName name="tlInputEGProd2Offering3">btnLevel!$N$58</definedName>
    <definedName name="tlInputEGProd3Offering1">btnLevel!$N$60</definedName>
    <definedName name="tlInputEGProd3Offering2">btnLevel!$N$62</definedName>
    <definedName name="tlInputEGProd3Offering3">btnLevel!$N$64</definedName>
    <definedName name="tlInputEGScalability">btnLevel!$N$44</definedName>
    <definedName name="tlInputEGSecurity">btnLevel!$N$42</definedName>
    <definedName name="tlInputErrorHandler">btnLevel!$N$34</definedName>
    <definedName name="tlInputOpsCollabFTEs">tlInputOps!$E$27</definedName>
    <definedName name="tlInputOpsCommercialMarketingBudget">tlInputOps!$H$59</definedName>
    <definedName name="tlInputOpsCommercialProd1Marketing">tlInputOps!$H$66</definedName>
    <definedName name="tlInputOpsCommercialProd2Marketing">tlInputOps!$H$71</definedName>
    <definedName name="tlInputOpsCommercialProd3Marketing">tlInputOps!$H$76</definedName>
    <definedName name="tlInputOpsCommericalProd2Marketing">tlInputOps!$H$71</definedName>
    <definedName name="tlInputOpsConsumerMarketingBudget">tlInputOps!$Q$59</definedName>
    <definedName name="tlInputOpsConsumerProd1Marketing">tlInputOps!$Q$66</definedName>
    <definedName name="tlInputOpsConsumerProd3Marketing">tlInputOps!$Q$71</definedName>
    <definedName name="tlInputOpsDataCenter">tlInputOps!$E$37</definedName>
    <definedName name="tlInputOpsGlobalDemandCenterFTEs">tlInputOps!$E$21</definedName>
    <definedName name="tlInputOpsITFTEs">tlInputOps!$E$18</definedName>
    <definedName name="tlInputOpsSupplyChainFTEs">tlInputOps!$E$24</definedName>
    <definedName name="tlInputOpsTotalMarketingBudget">tlInputOps!$K$53</definedName>
    <definedName name="tlInputTeamName">tlInputIntro!$E$14</definedName>
    <definedName name="tlInputTeamNumber">tlInputIntro!$F$11</definedName>
    <definedName name="tlInputTeamRound">tlInputIntro!$E$17</definedName>
    <definedName name="tlInputWobbler1">Popup_Wobbler!$C$287</definedName>
    <definedName name="tlInputWobbler2">Popup_Wobbler!$C$288</definedName>
    <definedName name="tlInputWobbler3">Popup_Wobbler!$C$289</definedName>
    <definedName name="tlInputWobbler4">Popup_Wobbler!$C$290</definedName>
    <definedName name="tlInputWobbler5">Popup_Wobbler!$C$291</definedName>
    <definedName name="tlInputWobbler6">Popup_Wobbler!$C$292</definedName>
    <definedName name="tlInputWobbler7">Popup_Wobbler!$C$293</definedName>
    <definedName name="tlInputWobbler8">Popup_Wobbler!$C$294</definedName>
    <definedName name="tlInputWobblerCurrentTime">Popup_Wobbler!$C$157</definedName>
    <definedName name="tlobal_Paste">Obal!$E$3</definedName>
    <definedName name="tlobalAvgConsumption">Obal!$E$187</definedName>
    <definedName name="tlobalAvgRenRate">Obal!$E$196</definedName>
    <definedName name="tlobalCollab">Obal!$E$261</definedName>
    <definedName name="tlobalCommercialDirectSalesFTEs">Obal!$E$73</definedName>
    <definedName name="tlobalCommercialInsideSalesFTEs">Obal!$E$74</definedName>
    <definedName name="tlobalCommercialPartner1Budget">Obal!$E$97</definedName>
    <definedName name="tlobalCommercialPartner1FTEs">Obal!$E$103</definedName>
    <definedName name="tlobalCommercialPartner1Pct">Obal!$E$91</definedName>
    <definedName name="tlobalCommercialPartner2Budget">Obal!$E$98</definedName>
    <definedName name="tlobalCommercialPartner2FTEs">Obal!$E$104</definedName>
    <definedName name="tlobalCommercialPartner2Pct">Obal!$E$92</definedName>
    <definedName name="tlobalCommercialPartner3Budget">Obal!$E$99</definedName>
    <definedName name="tlobalCommercialPartner3FTEs">Obal!$E$105</definedName>
    <definedName name="tlobalCommercialPartner3Pct">Obal!$E$93</definedName>
    <definedName name="tlobalCommercialPartner4Budget">Obal!$E$100</definedName>
    <definedName name="tlobalCommercialPartner4FTEs">Obal!$E$106</definedName>
    <definedName name="tlobalCommercialPartner4Pct">Obal!$E$94</definedName>
    <definedName name="tlobalCommercialPartnerDevelopment">Obal!$E$87</definedName>
    <definedName name="tlobalCommercialPartnerEducation">Obal!$E$89</definedName>
    <definedName name="tlobalCommercialPartnerIncentives">Obal!$E$88</definedName>
    <definedName name="tlobalCommercialProd1Marketing">Obal!$E$83</definedName>
    <definedName name="tlobalCommercialProd1MarketingPct">Obal!$E$78</definedName>
    <definedName name="tlobalCommercialProd1Price">Obal!$E$65</definedName>
    <definedName name="tlobalCommercialProd2Marketing">Obal!$E$84</definedName>
    <definedName name="tlobalCommercialProd2MarketingPct">Obal!$E$79</definedName>
    <definedName name="tlobalCommercialProd2Price">Obal!$E$66</definedName>
    <definedName name="tlobalCommercialProd3Marketing">Obal!$E$85</definedName>
    <definedName name="tlobalCommercialProd3MarketingPct">Obal!$E$80</definedName>
    <definedName name="tlobalCommercialProd3Price">Obal!$E$67</definedName>
    <definedName name="tlobalCommercialServicesFTEs">Obal!$E$75</definedName>
    <definedName name="tlobalCommercialSkill1">Obal!$E$69</definedName>
    <definedName name="tlobalCommercialSkill2">Obal!$E$70</definedName>
    <definedName name="tlobalCommercialSkill3">Obal!$E$71</definedName>
    <definedName name="tlobalCommercialTotalMarketing">Obal!$E$82</definedName>
    <definedName name="tlobalCommercialTotalMarketingPct">Obal!$E$77</definedName>
    <definedName name="tlobalCommercialTotalPartnerBudget">Obal!$E$96</definedName>
    <definedName name="tlobalCommercialTotalPartnerFTEs">Obal!$E$102</definedName>
    <definedName name="tlobalConsumerDirectSalesFTEs">Obal!$E$115</definedName>
    <definedName name="tlobalConsumerInsideSalesFTEs">Obal!$E$116</definedName>
    <definedName name="tlobalConsumerPartner4Budget">Obal!$E$136</definedName>
    <definedName name="tlobalConsumerPartner4FTEs">Obal!$E$141</definedName>
    <definedName name="tlobalConsumerPartner4Pct">Obal!$E$131</definedName>
    <definedName name="tlobalConsumerPartner5Budget">Obal!$E$137</definedName>
    <definedName name="tlobalConsumerPartner5FTEs">Obal!$E$142</definedName>
    <definedName name="tlobalConsumerPartner5Pct">Obal!$E$132</definedName>
    <definedName name="tlobalConsumerPartner6Budget">Obal!$E$138</definedName>
    <definedName name="tlobalConsumerPartner6FTEs">Obal!$E$143</definedName>
    <definedName name="tlobalConsumerPartner6Pct">Obal!$E$133</definedName>
    <definedName name="tlobalConsumerPartnerDevelopment">Obal!$E$127</definedName>
    <definedName name="tlobalConsumerPartnerEducation">Obal!$E$129</definedName>
    <definedName name="tlobalConsumerPartnerIncentives">Obal!$E$128</definedName>
    <definedName name="tlobalConsumerProd1Marketing">Obal!$E$124</definedName>
    <definedName name="tlobalConsumerProd1MarketingPct">Obal!$E$120</definedName>
    <definedName name="tlobalConsumerProd1Price">Obal!$E$109</definedName>
    <definedName name="tlobalConsumerProd3Marketing">Obal!$E$125</definedName>
    <definedName name="tlobalConsumerProd3MarketingPct">Obal!$E$121</definedName>
    <definedName name="tlobalConsumerProd3Price">Obal!$E$110</definedName>
    <definedName name="tlobalConsumerServicesFTEs">Obal!$E$117</definedName>
    <definedName name="tlobalConsumerSkill1">Obal!$E$112</definedName>
    <definedName name="tlobalConsumerSkill2">Obal!$E$113</definedName>
    <definedName name="tlobalConsumerTotalMarketing">Obal!$E$123</definedName>
    <definedName name="tlobalConsumerTotalMarketingPct">Obal!$E$119</definedName>
    <definedName name="tlobalConsumerTotalPartnerBudget">Obal!$E$135</definedName>
    <definedName name="tlobalConsumerTotalPartnerFTEs">Obal!$E$140</definedName>
    <definedName name="tlobalCPE">Obal!$E$260</definedName>
    <definedName name="tlobalCustSuccess">Obal!$E$250</definedName>
    <definedName name="tlobalCustSuccessCSAT">Obal!$E$248</definedName>
    <definedName name="tlobalCustSuccessEE">Obal!$E$249</definedName>
    <definedName name="tlobalCustSuccessOpMargin">Obal!$E$247</definedName>
    <definedName name="tlobalCustSuccessRev">Obal!$E$246</definedName>
    <definedName name="tlobalEGInteroperability">Obal!$E$40</definedName>
    <definedName name="tlobalEGInteroperabilityDec">Obal!$E$53</definedName>
    <definedName name="tlobalEGProd1Offering1">Obal!$E$42</definedName>
    <definedName name="tlobalEGProd1Offering1Dec">Obal!$E$55</definedName>
    <definedName name="tlobalEGProd1Offering2">Obal!$E$43</definedName>
    <definedName name="tlobalEGProd1Offering2Dec">Obal!$E$56</definedName>
    <definedName name="tlobalEGProd2Offering1">Obal!$E$45</definedName>
    <definedName name="tlobalEGProd2Offering1Dec">Obal!$E$58</definedName>
    <definedName name="tlobalEGProd2Offering2">Obal!$E$46</definedName>
    <definedName name="tlobalEGProd2Offering2Dec">Obal!$E$59</definedName>
    <definedName name="tlobalEGProd3Offering1">Obal!$E$48</definedName>
    <definedName name="tlobalEGProd3Offering1Dec">Obal!$E$61</definedName>
    <definedName name="tlobalEGProd3Offering2">Obal!$E$49</definedName>
    <definedName name="tlobalEGProd3Offering2Dec">Obal!$E$62</definedName>
    <definedName name="tlobalEGScalability">Obal!$E$39</definedName>
    <definedName name="tlobalEGScalabilityDec">Obal!$E$52</definedName>
    <definedName name="tlobalEGSecurity">Obal!$E$38</definedName>
    <definedName name="tlobalEGSecurityDec">Obal!$E$51</definedName>
    <definedName name="tlobalETUs">Obal!$E$13</definedName>
    <definedName name="tlobalExecution">Obal!$E$11</definedName>
    <definedName name="tlobalHeadcount">Obal!$E$10</definedName>
    <definedName name="tlobalInternalReadiness">Obal!$E$262</definedName>
    <definedName name="tlobalNewHireProductivity">Obal!$E$12</definedName>
    <definedName name="tlobalOpsDataCenter">Obal!$E$33</definedName>
    <definedName name="tlobalOpsDataCenterUtilization">Obal!$E$35</definedName>
    <definedName name="tlobalOpsDataCenterValue">Obal!$E$34</definedName>
    <definedName name="tlobalOpsGlobalDemandCenterFTEs">Obal!$E$30</definedName>
    <definedName name="tlobalOpsITFTEs">Obal!$E$29</definedName>
    <definedName name="tlobalOpsProd1Seg1Share">Obal!$E$16</definedName>
    <definedName name="tlobalOpsProd1Seg2Share">Obal!$E$17</definedName>
    <definedName name="tlobalOpsProd1Seg3Share">Obal!$E$18</definedName>
    <definedName name="tlobalOpsProd2Seg1Share">Obal!$E$19</definedName>
    <definedName name="tlobalOpsProd2Seg2Share">Obal!$E$20</definedName>
    <definedName name="tlobalOpsProd3Seg1Share">Obal!$E$21</definedName>
    <definedName name="tlobalOpsProd3Seg2Share">Obal!$E$22</definedName>
    <definedName name="tlobalOpsProd3Seg3Share">Obal!$E$23</definedName>
    <definedName name="tlobalOpsSalesCollabFTEs">Obal!$E$27</definedName>
    <definedName name="tlobalOpsSupplyChainFTEs">Obal!$E$31</definedName>
    <definedName name="tlobalOpsTotalMarketing">Obal!$E$25</definedName>
    <definedName name="tlobalProd1BaseNewCOGS">Obal!$E$199</definedName>
    <definedName name="tlobalProd1BaseRenewalCOGS">Obal!$E$200</definedName>
    <definedName name="tlobalProd1Seg1CloudAdoption">Obal!$E$174</definedName>
    <definedName name="tlobalProd1Seg1Consumption">Obal!$E$181</definedName>
    <definedName name="tlobalProd1Seg1DefRev">Obal!$E$224</definedName>
    <definedName name="tlobalProd1Seg1NewServicesCust">Obal!$E$207</definedName>
    <definedName name="tlobalProd1Seg1NewSubs">Obal!$E$146</definedName>
    <definedName name="tlobalProd1Seg1NonCloudSubs">Obal!$E$169</definedName>
    <definedName name="tlobalProd1Seg1RenewedServicesCust">Obal!$E$208</definedName>
    <definedName name="tlobalProd1Seg1RenewedSubs">Obal!$E$147</definedName>
    <definedName name="tlobalProd1Seg1RenRate">Obal!$E$190</definedName>
    <definedName name="tlobalProd1Seg1ServicesAttachRate">Obal!$E$232</definedName>
    <definedName name="tlobalProd1Seg1ServicesRenRate">Obal!$E$239</definedName>
    <definedName name="tlobalProd1Seg1TotalServicesCust">Obal!$E$209</definedName>
    <definedName name="tlobalProd1Seg1TotalSubs">Obal!$E$148</definedName>
    <definedName name="tlobalProd1Seg2CloudAdoption">Obal!$E$175</definedName>
    <definedName name="tlobalProd1Seg2Consumption">Obal!$E$182</definedName>
    <definedName name="tlobalProd1Seg2DefRev">Obal!$E$225</definedName>
    <definedName name="tlobalProd1Seg2NewServicesCust">Obal!$E$211</definedName>
    <definedName name="tlobalProd1Seg2NewSubs">Obal!$E$150</definedName>
    <definedName name="tlobalProd1Seg2NonCloudSubs">Obal!$E$170</definedName>
    <definedName name="tlobalProd1Seg2RenewedServicesCust">Obal!$E$212</definedName>
    <definedName name="tlobalProd1Seg2RenewedSubs">Obal!$E$151</definedName>
    <definedName name="tlobalProd1Seg2RenRate">Obal!$E$191</definedName>
    <definedName name="tlobalProd1Seg2ServicesAttachRate">Obal!$E$233</definedName>
    <definedName name="tlobalProd1Seg2ServicesRenRate">Obal!$E$240</definedName>
    <definedName name="tlobalProd1Seg2TotalServicesCust">Obal!$E$213</definedName>
    <definedName name="tlobalProd1Seg2TotalSubs">Obal!$E$152</definedName>
    <definedName name="tlobalProd1Seg3CloudAdoption">Obal!$E$176</definedName>
    <definedName name="tlobalProd1Seg3Consumption">Obal!$E$183</definedName>
    <definedName name="tlobalProd1Seg3DefRev">Obal!$E$226</definedName>
    <definedName name="tlobalProd1Seg3NewSubs">Obal!$E$154</definedName>
    <definedName name="tlobalProd1Seg3RenewedSubs">Obal!$E$155</definedName>
    <definedName name="tlobalProd1Seg3RenRate">Obal!$E$192</definedName>
    <definedName name="tlobalProd1Seg3TotalSubs">Obal!$E$156</definedName>
    <definedName name="tlobalProd1TotalCLV">Obal!$E$253</definedName>
    <definedName name="tlobalProd2BaseNewCOGS">Obal!$E$201</definedName>
    <definedName name="tlobalProd2BaseRenewalCOGS">Obal!$E$202</definedName>
    <definedName name="tlobalProd2Seg1Consumption">Obal!$E$184</definedName>
    <definedName name="tlobalProd2Seg1DefRev">Obal!$E$228</definedName>
    <definedName name="tlobalProd2Seg1NewServicesCust">Obal!$E$215</definedName>
    <definedName name="tlobalProd2Seg1NewSubs">Obal!$E$158</definedName>
    <definedName name="tlobalProd2Seg1RenewedServicesCust">Obal!$E$216</definedName>
    <definedName name="tlobalProd2Seg1RenewedSubs">Obal!$E$159</definedName>
    <definedName name="tlobalProd2Seg1RenRate">Obal!$E$193</definedName>
    <definedName name="tlobalProd2Seg1ServicesAttachRate">Obal!$E$235</definedName>
    <definedName name="tlobalProd2Seg1ServicesRenRate">Obal!$E$242</definedName>
    <definedName name="tlobalProd2Seg1TotalServicesCust">Obal!$E$217</definedName>
    <definedName name="tlobalProd2Seg1TotalSubs">Obal!$E$160</definedName>
    <definedName name="tlobalProd2Seg2Consumption">Obal!$E$185</definedName>
    <definedName name="tlobalProd2Seg2DefRev">Obal!$E$229</definedName>
    <definedName name="tlobalProd2Seg2NewServicesCust">Obal!$E$219</definedName>
    <definedName name="tlobalProd2Seg2NewSubs">Obal!$E$162</definedName>
    <definedName name="tlobalProd2Seg2RenewedServicesCust">Obal!$E$220</definedName>
    <definedName name="tlobalProd2Seg2RenewedSubs">Obal!$E$163</definedName>
    <definedName name="tlobalProd2Seg2RenRate">Obal!$E$194</definedName>
    <definedName name="tlobalProd2Seg2ServicesAttachRate">Obal!$E$236</definedName>
    <definedName name="tlobalProd2Seg2ServicesRenRate">Obal!$E$243</definedName>
    <definedName name="tlobalProd2Seg2TotalServicesCust">Obal!$E$221</definedName>
    <definedName name="tlobalProd2Seg2TotalSubs">Obal!$E$164</definedName>
    <definedName name="tlobalProd2TotalCLV">Obal!$E$254</definedName>
    <definedName name="tlobalProd3BaseLaborCOGS">Obal!$E$204</definedName>
    <definedName name="tlobalProd3BaseMatCOGS">Obal!$E$203</definedName>
    <definedName name="tlobalProd3TotalCLV">Obal!$E$255</definedName>
    <definedName name="tlobalTeamName">Obal!$E$7</definedName>
    <definedName name="tlobalTotalCloudSubs">Obal!$E$166</definedName>
    <definedName name="tlobalTotalCLV">Obal!$E$256</definedName>
    <definedName name="tlobalTotalRev">Obal!$E$263</definedName>
    <definedName name="tlobalTotalRevGrowth">Obal!$E$264</definedName>
    <definedName name="tlobalTotalScore">Obal!$E$265</definedName>
    <definedName name="tlobalWHI">Obal!$E$259</definedName>
    <definedName name="tlOutputCommercialDashboardAvgChurn">tlInputCommercial!$L$6</definedName>
    <definedName name="tlOutputCommercialDashboardAvgConsumption">tlInputCommercial!$J$6</definedName>
    <definedName name="tlOutputCommercialDashboardCloudAdopt">tlInputCommercial!$H$6</definedName>
    <definedName name="tlOutputCommercialDashboardCLV">tlInputCommercial!$H$3</definedName>
    <definedName name="tlOutputCommercialDashboardCPE">tlInputCommercial!$J$9</definedName>
    <definedName name="tlOutputCommercialDashboardFTEs">tlInputCommercial!$L$9</definedName>
    <definedName name="tlOutputCommercialDashboardGrossMargin">tlInputCommercial!$L$4</definedName>
    <definedName name="tlOutputCommercialDashboardGrossProfit">tlInputCommercial!$L$3</definedName>
    <definedName name="tlOutputCommercialDashboardOpMargin">tlInputCommercial!$N$4</definedName>
    <definedName name="tlOutputCommercialDashboardOpProfit">tlInputCommercial!$N$3</definedName>
    <definedName name="tlOutputCommercialDashboardRev">tlInputCommercial!$J$3</definedName>
    <definedName name="tlOutputCommercialDashboardRevGrowth">tlInputCommercial!$J$4</definedName>
    <definedName name="tlOutputCommercialDashboardWHI">tlInputCommercial!$H$9</definedName>
    <definedName name="tlOutputCommercialInternalReadiness">tlInputCommercial!$D$135</definedName>
    <definedName name="tlOutputCommercialLabelCustSuccess">tlInputCommercial!$F$11</definedName>
    <definedName name="tlOutputCommercialLabelPartner1">tlInputCommercial!$D$111</definedName>
    <definedName name="tlOutputCommercialLabelPartner2">tlInputCommercial!$H$111</definedName>
    <definedName name="tlOutputCommercialLabelPartner3">tlInputCommercial!$L$111</definedName>
    <definedName name="tlOutputCommercialLabelPartner4">tlInputCommercial!$P$111</definedName>
    <definedName name="tlOutputCommercialLabelSkill1">tlInputCommercial!$B$60</definedName>
    <definedName name="tlOutputCommercialLabelSkill2">tlInputCommercial!$B$67</definedName>
    <definedName name="tlOutputCommercialLabelSkill3">tlInputCommercial!$B$73</definedName>
    <definedName name="tlOutputCommercialPartner1Exp">tlInputCommercial!$D$116</definedName>
    <definedName name="tlOutputCommercialPartner1FTes">tlInputCommercial!$D$115</definedName>
    <definedName name="tlOutputCommercialPartner2Exp">tlInputCommercial!$H$116</definedName>
    <definedName name="tlOutputCommercialPartner2FTEs">tlInputCommercial!$H$115</definedName>
    <definedName name="tlOutputCommercialPartner3Exp">tlInputCommercial!$L$116</definedName>
    <definedName name="tlOutputCommercialPartner3FTEs">tlInputCommercial!$L$115</definedName>
    <definedName name="tlOutputCommercialPartner4Exp">tlInputCommercial!$P$116</definedName>
    <definedName name="tlOutputCommercialPartner4FTEs">tlInputCommercial!$P$115</definedName>
    <definedName name="tlOutputCommercialPartnerDevelopExp">tlInputCommercial!$D$106</definedName>
    <definedName name="tlOutputCommercialPartnerDevelopFTEs">tlInputCommercial!$D$105</definedName>
    <definedName name="tlOutputCommercialPartnerDevelopTotalInvest">tlInputCommercial!$D$104</definedName>
    <definedName name="tlOutputCommercialPartnerEducationExp">tlInputCommercial!$L$106</definedName>
    <definedName name="tlOutputCommercialPartnerEducationFTEs">tlInputCommercial!$L$105</definedName>
    <definedName name="tlOutputCommercialPartnerEducationTotalInvest">tlInputCommercial!$L$104</definedName>
    <definedName name="tlOutputCommercialPartnerIncentivesExp">tlInputCommercial!$H$106</definedName>
    <definedName name="tlOutputCommercialPartnerIncentivesFTEs">tlInputCommercial!$H$105</definedName>
    <definedName name="tlOutputCommercialPartnerIncentivesTotalInvest">tlInputCommercial!$H$104</definedName>
    <definedName name="tlOutputCommercialProd1Seg1ShareOpening">tlInputCommercial!$F$33</definedName>
    <definedName name="tlOutputCommercialProd1Seg2ShareOpening">tlInputCommercial!$F$47</definedName>
    <definedName name="tlOutputCommercialProd2Seg1ShareOpening">tlInputCommercial!$F$36</definedName>
    <definedName name="tlOutputCommercialProd2Seg2ShareOpening">tlInputCommercial!$F$50</definedName>
    <definedName name="tlOutputCommercialProd3Seg1ShareOpening">tlInputCommercial!$F$39</definedName>
    <definedName name="tlOutputCommercialProd3Seg2ShareOpening">tlInputCommercial!$F$53</definedName>
    <definedName name="tlOutputCommercialResource1Opening">tlInputCommercial!$D$94</definedName>
    <definedName name="tlOutputCommercialResource2Opening">tlInputCommercial!$H$94</definedName>
    <definedName name="tlOutputCommercialResource3Opening">tlInputCommercial!$L$94</definedName>
    <definedName name="tlOutputCommercialSkill1Exp">tlInputCommercial!$D$64</definedName>
    <definedName name="tlOutputCommercialSkill1FTEs">tlInputCommercial!$D$63</definedName>
    <definedName name="tlOutputCommercialSkill1TotalInvest">tlInputCommercial!$D$62</definedName>
    <definedName name="tlOutputCommercialSkill2Exp">tlInputCommercial!$D$71</definedName>
    <definedName name="tlOutputCommercialSkill2FTEs">tlInputCommercial!$D$70</definedName>
    <definedName name="tlOutputCommercialSkill2TotalInvest">tlInputCommercial!$D$69</definedName>
    <definedName name="tlOutputCommercialSkill3Exp">tlInputCommercial!$D$77</definedName>
    <definedName name="tlOutputCommercialSkill3FTEs">tlInputCommercial!$D$76</definedName>
    <definedName name="tlOutputCommercialSkill3TotalInvest">tlInputCommercial!$D$75</definedName>
    <definedName name="tlOutputConsumerDashboardAvgChurn">tlInputConsumer!$L$6</definedName>
    <definedName name="tlOutputConsumerDashboardAvgConsumption">tlInputConsumer!$J$6</definedName>
    <definedName name="tlOutputConsumerDashboardCloudAdopt">tlInputConsumer!$H$6</definedName>
    <definedName name="tlOutputConsumerDashboardCLV">tlInputConsumer!$H$3</definedName>
    <definedName name="tlOutputConsumerDashboardCPE">tlInputConsumer!$J$9</definedName>
    <definedName name="tlOutputConsumerDashboardFTEs">tlInputConsumer!$L$9</definedName>
    <definedName name="tlOutputConsumerDashboardGrossMargin">tlInputConsumer!$L$4</definedName>
    <definedName name="tlOutputConsumerDashboardGrossProfit">tlInputConsumer!$L$3</definedName>
    <definedName name="tlOutputConsumerDashboardOpMargin">tlInputConsumer!$N$4</definedName>
    <definedName name="tlOutputConsumerDashboardOpProfit">tlInputConsumer!$N$3</definedName>
    <definedName name="tlOutputConsumerDashboardRev">tlInputConsumer!$J$3</definedName>
    <definedName name="tlOutputConsumerDashboardRevGrowth">tlInputConsumer!$J$4</definedName>
    <definedName name="tlOutputConsumerDashboardWHI">tlInputConsumer!$H$9</definedName>
    <definedName name="tlOutputConsumerLabelCustSuccess">tlInputConsumer!$F$11</definedName>
    <definedName name="tlOutputConsumerLabelPartner4">tlInputConsumer!$D$87</definedName>
    <definedName name="tlOutputConsumerLabelPartner5">tlInputConsumer!$H$87</definedName>
    <definedName name="tlOutputConsumerLabelPartner6">tlInputConsumer!$L$87</definedName>
    <definedName name="tlOutputConsumerLabelResource1">tlInputConsumer!$D$56</definedName>
    <definedName name="tlOutputConsumerLabelResource2">tlInputConsumer!$H$56</definedName>
    <definedName name="tlOutputConsumerLabelResource3">tlInputConsumer!$L$56</definedName>
    <definedName name="tlOutputConsumerLabelSkill1">tlInputConsumer!$B$40</definedName>
    <definedName name="tlOutputConsumerLabelSkill2">tlInputConsumer!$B$47</definedName>
    <definedName name="tlOutputConsumerPartner4Exp">tlInputConsumer!$D$91</definedName>
    <definedName name="tlOutputConsumerPartner4FTes">tlInputConsumer!$D$90</definedName>
    <definedName name="tlOutputConsumerPartner5Exp">tlInputConsumer!$H$91</definedName>
    <definedName name="tlOutputConsumerPartner5FTEs">tlInputConsumer!$H$90</definedName>
    <definedName name="tlOutputConsumerPartner6Exp">tlInputConsumer!$L$91</definedName>
    <definedName name="tlOutputConsumerPartner6FTEs">tlInputConsumer!$L$90</definedName>
    <definedName name="tlOutputConsumerPartnerDevelopExp">tlInputConsumer!$D$81</definedName>
    <definedName name="tlOutputConsumerPartnerDevelopFTEs">tlInputConsumer!$D$80</definedName>
    <definedName name="tlOutputConsumerPartnerDevelopTotalInvest">tlInputConsumer!$D$79</definedName>
    <definedName name="tlOutputConsumerPartnerEducationClosing">tlInputConsumer!$L$79</definedName>
    <definedName name="tlOutputConsumerPartnerEducationExp">tlInputConsumer!$L$81</definedName>
    <definedName name="tlOutputConsumerPartnerEducationFTEs">tlInputConsumer!$L$80</definedName>
    <definedName name="tlOutputConsumerPartnerIncentivesClosing">tlInputConsumer!$H$79</definedName>
    <definedName name="tlOutputConsumerPartnerIncentivesExp">tlInputConsumer!$H$81</definedName>
    <definedName name="tlOutputConsumerPartnerIncentivesFTEs">tlInputConsumer!$H$80</definedName>
    <definedName name="tlOutputConsumerProd1Seg3ShareOpening">tlInputConsumer!$D$27</definedName>
    <definedName name="tlOutputConsumerProd3Seg3ShareOpening">tlInputConsumer!$D$33</definedName>
    <definedName name="tlOutputConsumerResource1Opening">tlInputConsumer!$D$70</definedName>
    <definedName name="tlOutputConsumerResource2Opening">tlInputConsumer!$H$70</definedName>
    <definedName name="tlOutputConsumerResource3Opening">tlInputConsumer!$L$70</definedName>
    <definedName name="tlOutputConsumerSkill1Exp">tlInputConsumer!$D$44</definedName>
    <definedName name="tlOutputConsumerSkill1FTEs">tlInputConsumer!$D$43</definedName>
    <definedName name="tlOutputConsumerSkill1TotalInvest">tlInputConsumer!$D$42</definedName>
    <definedName name="tlOutputConsumerSkill2Exp">tlInputConsumer!$D$51</definedName>
    <definedName name="tlOutputConsumerSkill2FTEs">tlInputConsumer!$D$50</definedName>
    <definedName name="tlOutputConsumerSkill2TotalInvest">tlInputConsumer!$D$49</definedName>
    <definedName name="tlOutputEGDashboard1">tlInputEG!$H$2</definedName>
    <definedName name="tlOutputEGDashboardAvgChurn">tlInputEG!$L$6</definedName>
    <definedName name="tlOutputEGDashboardAvgConsumption">tlInputEG!$J$6</definedName>
    <definedName name="tlOutputEGDashboardCloudAdopt">tlInputEG!$H$6</definedName>
    <definedName name="tlOutputEGDashboardCLV">tlInputEG!$H$3</definedName>
    <definedName name="tlOutputEGDashboardCPE">tlInputEG!$J$9</definedName>
    <definedName name="tlOutputEGDashboardETUs">tlInputEG!$L$9</definedName>
    <definedName name="tlOutputEGDashboardGrossMargin">tlInputEG!$L$4</definedName>
    <definedName name="tlOutputEGDashboardGrossProfit">tlInputEG!$L$3</definedName>
    <definedName name="tlOutputEGDashboardOpMargin">tlInputEG!$N$4</definedName>
    <definedName name="tlOutputEGDashboardOpProfit">tlInputEG!$N$3</definedName>
    <definedName name="tlOutputEGDashboardRev">tlInputEG!$J$3</definedName>
    <definedName name="tlOutputEGDashboardRevGrowth">tlInputEG!$J$4</definedName>
    <definedName name="tlOutputEGDashboardWHI">tlInputEG!$H$9</definedName>
    <definedName name="tlOutputEGInteroperabilityETUs">tlInputEG!$D$27</definedName>
    <definedName name="tlOutputEGInteroperabilityTotalInvest">tlInputEG!$D$26</definedName>
    <definedName name="tlOutputEGLabelCustSuccess">tlInputEG!$F$11</definedName>
    <definedName name="tlOutputEGLabelPlatform1">tlInputEG!$B$17</definedName>
    <definedName name="tlOutputEGLabelPlatform2">tlInputEG!$B$24</definedName>
    <definedName name="tlOutputEGLabelPlatform3">tlInputEG!$B$31</definedName>
    <definedName name="tlOutputEGLabelProd1Offering1">tlInputEG!$B$42</definedName>
    <definedName name="tlOutputEGLabelProd1Offering2">tlInputEG!$B$49</definedName>
    <definedName name="tlOutputEGLabelProd2Offering1">tlInputEG!$B$61</definedName>
    <definedName name="tlOutputEGLabelProd2Offering2">tlInputEG!$B$67</definedName>
    <definedName name="tlOutputEGLabelProd3Offering1">tlInputEG!$B$80</definedName>
    <definedName name="tlOutputEGLabelProd3Offering2">tlInputEG!$B$86</definedName>
    <definedName name="tlOutputEGScalabilityClosing">tlInputEG!$D$33</definedName>
    <definedName name="tlOutputEGScalabilityETUs">tlInputEG!$D$34</definedName>
    <definedName name="tlOutputEGSecurityClosing">tlInputEG!$D$19</definedName>
    <definedName name="tlOutputEGSecurityETUs">tlInputEG!$D$20</definedName>
    <definedName name="tlOutputEGSProd1Offering1Closing">tlInputEG!$D$44</definedName>
    <definedName name="tlOutputEGSProd1Offering1ETUs">tlInputEG!$D$45</definedName>
    <definedName name="tlOutputEGSProd1Offering2Closing">tlInputEG!$D$51</definedName>
    <definedName name="tlOutputEGSProd1Offering2ETUs">tlInputEG!$D$52</definedName>
    <definedName name="tlOutputEGSProd2Offering1Closing">tlInputEG!$D$63</definedName>
    <definedName name="tlOutputEGSProd2Offering1ETUs">tlInputEG!$D$64</definedName>
    <definedName name="tlOutputEGSProd2Offering2Closing">tlInputEG!$D$69</definedName>
    <definedName name="tlOutputEGSProd2Offering2ETUs">tlInputEG!$D$70</definedName>
    <definedName name="tlOutputEGSProd3Offering1Closing">tlInputEG!$D$82</definedName>
    <definedName name="tlOutputEGSProd3Offering1ETUs">tlInputEG!$D$83</definedName>
    <definedName name="tlOutputEGSProd3Offering2Closing">tlInputEG!$D$88</definedName>
    <definedName name="tlOutputEGSProd3Offering2ETUs">tlInputEG!$D$89</definedName>
    <definedName name="tlOutputGraphsCloudChurn">Graphs!$D$34</definedName>
    <definedName name="tlOutputGraphsCloudMigrate">Graphs!$D$33</definedName>
    <definedName name="tlOutputGraphsCloudSubs">Graphs!$D$30</definedName>
    <definedName name="tlOutputGraphsCommercialResource1Closing">Graphs!$E$26</definedName>
    <definedName name="tlOutputGraphsCommercialResource1IndAvg">Graphs!$F$26</definedName>
    <definedName name="tlOutputGraphsCommercialResource1Opening">Graphs!$D$26</definedName>
    <definedName name="tlOutputGraphsCommercialResource2Closing">Graphs!$E$27</definedName>
    <definedName name="tlOutputGraphsCommercialResource2IndAvg">Graphs!$F$27</definedName>
    <definedName name="tlOutputGraphsCommercialResource2Opening">Graphs!$D$27</definedName>
    <definedName name="tlOutputGraphsCommercialResource3Closing">Graphs!$E$28</definedName>
    <definedName name="tlOutputGraphsCommercialResource3IndAvg">Graphs!$F$28</definedName>
    <definedName name="tlOutputGraphsCommercialResource3Opening">Graphs!$D$28</definedName>
    <definedName name="tlOutputGraphsCommercialSkill1Closing">Graphs!$E$21</definedName>
    <definedName name="tlOutputGraphsCommercialSkill1IndAvg">Graphs!$F$21</definedName>
    <definedName name="tlOutputGraphsCommercialSkill1Opening">Graphs!$D$21</definedName>
    <definedName name="tlOutputGraphsCommercialSkill2Closing">Graphs!$E$22</definedName>
    <definedName name="tlOutputGraphsCommercialSkill2IndAvg">Graphs!$F$22</definedName>
    <definedName name="tlOutputGraphsCommercialSkill2Opening">Graphs!$D$22</definedName>
    <definedName name="tlOutputGraphsCommercialSkill3Closing">Graphs!$E$23</definedName>
    <definedName name="tlOutputGraphsCommercialSkill3IndAvg">Graphs!$F$23</definedName>
    <definedName name="tlOutputGraphsCommercialSkill3Opening">Graphs!$D$23</definedName>
    <definedName name="tlOutputGraphsConsumerResource1Closing">Graphs!$E$53</definedName>
    <definedName name="tlOutputGraphsConsumerResource1IndAvg">Graphs!$F$53</definedName>
    <definedName name="tlOutputGraphsConsumerResource1Opening">Graphs!$D$53</definedName>
    <definedName name="tlOutputGraphsConsumerResource2Closing">Graphs!$E$54</definedName>
    <definedName name="tlOutputGraphsConsumerResource2IndAvg">Graphs!$F$54</definedName>
    <definedName name="tlOutputGraphsConsumerResource2Opening">Graphs!$D$54</definedName>
    <definedName name="tlOutputGraphsConsumerResource3Closing">Graphs!$E$55</definedName>
    <definedName name="tlOutputGraphsConsumerResource3IndAvg">Graphs!$F$55</definedName>
    <definedName name="tlOutputGraphsConsumerResource3Opening">Graphs!$D$55</definedName>
    <definedName name="tlOutputGraphsConsumerSkill1Closing">Graphs!$E$48</definedName>
    <definedName name="tlOutputGraphsConsumerSkill1IndAvg">Graphs!$F$48</definedName>
    <definedName name="tlOutputGraphsConsumerSkill1Opening">Graphs!$D$48</definedName>
    <definedName name="tlOutputGraphsConsumerSkill2Closing">Graphs!$E$49</definedName>
    <definedName name="tlOutputGraphsConsumerSkill2IndAvg">Graphs!$F$49</definedName>
    <definedName name="tlOutputGraphsConsumerSkill2Opening">Graphs!$D$49</definedName>
    <definedName name="tlOutputGraphsCustCSATClosing">Graphs!$D$99</definedName>
    <definedName name="tlOutputGraphsCustCSATOpening">Graphs!$D$98</definedName>
    <definedName name="tlOutputGraphsCustEEClosing">Graphs!$D$103</definedName>
    <definedName name="tlOutputGraphsCustEEOpening">Graphs!$D$102</definedName>
    <definedName name="tlOutputGraphsCustOpMarginClosing">Graphs!$D$95</definedName>
    <definedName name="tlOutputGraphsCustOpMarginOpening">Graphs!$D$94</definedName>
    <definedName name="tlOutputGraphsCustRevenueClosing">Graphs!$D$91</definedName>
    <definedName name="tlOutputGraphsCustRevenueOpening">Graphs!$D$90</definedName>
    <definedName name="tlOutputGraphsDCAvail">Graphs!$D$85</definedName>
    <definedName name="tlOutputGraphsDCUtilized">Graphs!$D$84</definedName>
    <definedName name="tlOutputGraphsInteroperabilityClosing">Graphs!$E$61</definedName>
    <definedName name="tlOutputGraphsInteroperabilityIndAvg">Graphs!$F$61</definedName>
    <definedName name="tlOutputGraphsInteroperabilityOpening">Graphs!$D$61</definedName>
    <definedName name="tlOutputGraphsLabelCloudChurn">Graphs!$C$34</definedName>
    <definedName name="tlOutputGraphsLabelCloudMigrated">Graphs!$C$33</definedName>
    <definedName name="tlOutputGraphsLabelCloudSubs">Graphs!$C$30</definedName>
    <definedName name="tlOutputGraphsLabelCommercialProd1Seg1">Graphs!$D$4</definedName>
    <definedName name="tlOutputGraphsLabelCommercialProd1Seg2">Graphs!$D$12</definedName>
    <definedName name="tlOutputGraphsLabelCommercialProd1Seg3">Graphs!$D$40</definedName>
    <definedName name="tlOutputGraphsLabelCommercialProd2Seg1">Graphs!$E$4</definedName>
    <definedName name="tlOutputGraphsLabelCommercialProd2Seg2">Graphs!$E$12</definedName>
    <definedName name="tlOutputGraphsLabelCommercialProd3Seg2">Graphs!$F$12</definedName>
    <definedName name="tlOutputGraphsLabelCommercialResource1">Graphs!$C$26</definedName>
    <definedName name="tlOutputGraphsLabelCommercialResource2">Graphs!$C$27</definedName>
    <definedName name="tlOutputGraphsLabelCommercialResource3">Graphs!$C$28</definedName>
    <definedName name="tlOutputGraphsLabelCommercialResourcesIndAvg">Graphs!$F$25</definedName>
    <definedName name="tlOutputGraphsLabelCommercialResourcesLastRound">Graphs!$D$25</definedName>
    <definedName name="tlOutputGraphsLabelCommercialResourcesThisRound">Graphs!$E$25</definedName>
    <definedName name="tlOutputGraphsLabelCommercialSkill1">Graphs!$C$21</definedName>
    <definedName name="tlOutputGraphsLabelCommercialSkill2">Graphs!$C$22</definedName>
    <definedName name="tlOutputGraphsLabelCommercialSkill3">Graphs!$C$23</definedName>
    <definedName name="tlOutputGraphsLabelCommercialSkillsIndAvg">Graphs!$F$20</definedName>
    <definedName name="tlOutputGraphsLabelCommercialSkillsLastRound">Graphs!$D$20</definedName>
    <definedName name="tlOutputGraphsLabelCommercialSkillsThisRound">Graphs!$E$20</definedName>
    <definedName name="tlOutputGraphsLabelConsumerProd3Seg1">Graphs!$F$4</definedName>
    <definedName name="tlOutputGraphsLabelConsumerProd3Seg3">Graphs!$E$40</definedName>
    <definedName name="tlOutputGraphsLabelConsumerResource1">Graphs!$C$53</definedName>
    <definedName name="tlOutputGraphsLabelConsumerResource2">Graphs!$C$54</definedName>
    <definedName name="tlOutputGraphsLabelConsumerResource3">Graphs!$C$55</definedName>
    <definedName name="tlOutputGraphsLabelConsumerResourcesIndAvg">Graphs!$F$52</definedName>
    <definedName name="tlOutputGraphsLabelConsumerResourcesLastRound">Graphs!$D$52</definedName>
    <definedName name="tlOutputGraphsLabelConsumerResourcesThisRound">Graphs!$E$52</definedName>
    <definedName name="tlOutputGraphsLabelConsumerSkill1">Graphs!$C$48</definedName>
    <definedName name="tlOutputGraphsLabelConsumerSkill2">Graphs!$C$49</definedName>
    <definedName name="tlOutputGraphsLabelConsumerSkillsIndAvg">Graphs!$F$47</definedName>
    <definedName name="tlOutputGraphsLabelConsumerSkillsLastRound">Graphs!$D$47</definedName>
    <definedName name="tlOutputGraphsLabelConsumerSkillsThisRound">Graphs!$E$47</definedName>
    <definedName name="tlOutputGraphsLabelCustCSAT">Graphs!$B$97</definedName>
    <definedName name="tlOutputGraphsLabelCustCSATLastRound">Graphs!$C$98</definedName>
    <definedName name="tlOutputGraphsLabelCustCSATThisRound">Graphs!$C$99</definedName>
    <definedName name="tlOutputGraphsLabelCustEE">Graphs!$B$101</definedName>
    <definedName name="tlOutputGraphsLabelCustEELastRound">Graphs!$C$102</definedName>
    <definedName name="tlOutputGraphsLabelCustEEThisRound">Graphs!$C$103</definedName>
    <definedName name="tlOutputGraphsLabelCustOpMargin">Graphs!$B$93</definedName>
    <definedName name="tlOutputGraphsLabelCustOpMarginLastRound">Graphs!$C$94</definedName>
    <definedName name="tlOutputGraphsLabelCustOpMarginThisRound">Graphs!$C$95</definedName>
    <definedName name="tlOutputGraphsLabelCustRevenue">Graphs!$B$89</definedName>
    <definedName name="tlOutputGraphsLabelCustRevenueLastRound">Graphs!$C$90</definedName>
    <definedName name="tlOutputGraphsLabelCustRevenueThisRound">Graphs!$C$91</definedName>
    <definedName name="tlOutputGraphsLabelDCAvail">Graphs!$C$85</definedName>
    <definedName name="tlOutputGraphsLabelDCUtilized">Graphs!$C$84</definedName>
    <definedName name="tlOutputGraphsLabelEGPlatformIndAvg">Graphs!$F$59</definedName>
    <definedName name="tlOutputGraphsLabelEGPlatformLastRound">Graphs!$D$59</definedName>
    <definedName name="tlOutputGraphsLabelEGPlatformThisRound">Graphs!$E$59</definedName>
    <definedName name="tlOutputGraphsLabelEGProd1IndAvg">Graphs!$F$72</definedName>
    <definedName name="tlOutputGraphsLabelEGProd1LastRound">Graphs!$D$72</definedName>
    <definedName name="tlOutputGraphsLabelEGProd1ThisRound">Graphs!$E$72</definedName>
    <definedName name="tlOutputGraphsLabelEGProd2IndAvg">Graphs!$F$68</definedName>
    <definedName name="tlOutputGraphsLabelEGProd2LastRound">Graphs!$D$68</definedName>
    <definedName name="tlOutputGraphsLabelEGProd2ThisRound">Graphs!$E$68</definedName>
    <definedName name="tlOutputGraphsLabelEGProd3IndAvg">Graphs!$F$64</definedName>
    <definedName name="tlOutputGraphsLabelEGProd3LastRound">Graphs!$D$64</definedName>
    <definedName name="tlOutputGraphsLabelEGProd3ThisRound">Graphs!$E$64</definedName>
    <definedName name="tlOutputGraphsLabelInteroperability">Graphs!$C$61</definedName>
    <definedName name="tlOutputGraphsLabelIntReadinessIClosing">Graphs!$C$82</definedName>
    <definedName name="tlOutputGraphsLabelIntReadinessInfrastructure">Graphs!$C$81</definedName>
    <definedName name="tlOutputGraphsLabelIntReadinessITFTEs">Graphs!$C$79</definedName>
    <definedName name="tlOutputGraphsLabelIntReadinessOpening">Graphs!$C$78</definedName>
    <definedName name="tlOutputGraphsLabelIntReadinessSupplyChainFTEs">Graphs!$C$80</definedName>
    <definedName name="tlOutputGraphsLabelOnPremiseLicense">Graphs!$C$31</definedName>
    <definedName name="tlOutputGraphsLabelProd1Offering1">Graphs!$C$74</definedName>
    <definedName name="tlOutputGraphsLabelProd1Offering2">Graphs!$C$73</definedName>
    <definedName name="tlOutputGraphsLabelProd2Offering1">Graphs!$C$70</definedName>
    <definedName name="tlOutputGraphsLabelProd2Offering2">Graphs!$C$69</definedName>
    <definedName name="tlOutputGraphsLabelProd3Offering1">Graphs!$C$66</definedName>
    <definedName name="tlOutputGraphsLabelProd3Offering2">Graphs!$C$65</definedName>
    <definedName name="tlOutputGraphsLabelScalability">Graphs!$C$60</definedName>
    <definedName name="tlOutputGraphsLabelSecurity">Graphs!$C$62</definedName>
    <definedName name="tlOutputGraphsLabelSeg1DefRev">Graphs!$C$9</definedName>
    <definedName name="tlOutputGraphsLabelSeg1NewRev">Graphs!$C$5</definedName>
    <definedName name="tlOutputGraphsLabelSeg1OnPremRev">Graphs!$C$6</definedName>
    <definedName name="tlOutputGraphsLabelSeg1RenewedRev">Graphs!$C$7</definedName>
    <definedName name="tlOutputGraphsLabelSeg1ServicesRev">Graphs!$C$8</definedName>
    <definedName name="tlOutputGraphsLabelSeg1TotalRev">Graphs!$C$10</definedName>
    <definedName name="tlOutputGraphsLabelSeg2DefRev">Graphs!$C$17</definedName>
    <definedName name="tlOutputGraphsLabelSeg2NewRev">Graphs!$C$13</definedName>
    <definedName name="tlOutputGraphsLabelSeg2OnPremRev">Graphs!$C$14</definedName>
    <definedName name="tlOutputGraphsLabelSeg2RenewedRev">Graphs!$C$15</definedName>
    <definedName name="tlOutputGraphsLabelSeg2ServicesRev">Graphs!$C$16</definedName>
    <definedName name="tlOutputGraphsLabelSeg2TotalRev">Graphs!$C$18</definedName>
    <definedName name="tlOutputGraphsLabelSeg3DefRev">Graphs!$C$44</definedName>
    <definedName name="tlOutputGraphsLabelSeg3NewRev">Graphs!$C$41</definedName>
    <definedName name="tlOutputGraphsLabelSeg3OnPremRev">Graphs!$C$42</definedName>
    <definedName name="tlOutputGraphsLabelSeg3RenewedRev">Graphs!$C$43</definedName>
    <definedName name="tlOutputGraphsLabelSeg3TotalRev">Graphs!$C$45</definedName>
    <definedName name="tlOutputGraphsLIntReadinessClosing">Graphs!$D$82</definedName>
    <definedName name="tlOutputGraphsLIntReadinessInfrastructure">Graphs!$D$81</definedName>
    <definedName name="tlOutputGraphsLIntReadinessITFTEs">Graphs!$D$79</definedName>
    <definedName name="tlOutputGraphsLIntReadinessOpening">Graphs!$D$78</definedName>
    <definedName name="tlOutputGraphsLIntReadinessSupplyChainFTEs">Graphs!$D$80</definedName>
    <definedName name="tlOutputGraphsOnPremiseLicense">Graphs!$D$31</definedName>
    <definedName name="tlOutputGraphsProd1Offering1Closing">Graphs!$E$74</definedName>
    <definedName name="tlOutputGraphsProd1Offering1IndAvg">Graphs!$F$74</definedName>
    <definedName name="tlOutputGraphsProd1Offering1Opening">Graphs!$D$74</definedName>
    <definedName name="tlOutputGraphsProd1Offering2Closing">Graphs!$E$73</definedName>
    <definedName name="tlOutputGraphsProd1Offering2IndAvg">Graphs!$F$73</definedName>
    <definedName name="tlOutputGraphsProd1Offering2Opening">Graphs!$D$73</definedName>
    <definedName name="tlOutputGraphsProd1Seg1DefRev">Graphs!$D$9</definedName>
    <definedName name="tlOutputGraphsProd1Seg1NewRev">Graphs!$D$5</definedName>
    <definedName name="tlOutputGraphsProd1Seg1OnPremRev">Graphs!$D$6</definedName>
    <definedName name="tlOutputGraphsProd1Seg1RenewedRev">Graphs!$D$7</definedName>
    <definedName name="tlOutputGraphsProd1Seg1ServicesRev">Graphs!$D$8</definedName>
    <definedName name="tlOutputGraphsProd1Seg1TotalRev">Graphs!$D$10</definedName>
    <definedName name="tlOutputGraphsProd1Seg2DefRev">Graphs!$D$17</definedName>
    <definedName name="tlOutputGraphsProd1Seg2NewRev">Graphs!$D$13</definedName>
    <definedName name="tlOutputGraphsProd1Seg2OnPremRev">Graphs!$D$14</definedName>
    <definedName name="tlOutputGraphsProd1Seg2RenewedRev">Graphs!$D$15</definedName>
    <definedName name="tlOutputGraphsProd1Seg2ServicesRev">Graphs!$D$16</definedName>
    <definedName name="tlOutputGraphsProd1Seg2TotalRev">Graphs!$D$18</definedName>
    <definedName name="tlOutputGraphsProd1Seg3DefRev">Graphs!$D$44</definedName>
    <definedName name="tlOutputGraphsProd1Seg3NewRev">Graphs!$D$41</definedName>
    <definedName name="tlOutputGraphsProd1Seg3OnPremRev">Graphs!$D$42</definedName>
    <definedName name="tlOutputGraphsProd1Seg3RenewedRev">Graphs!$D$43</definedName>
    <definedName name="tlOutputGraphsProd1Seg3TotalRev">Graphs!$D$45</definedName>
    <definedName name="tlOutputGraphsProd2Offering1Closing">Graphs!$E$70</definedName>
    <definedName name="tlOutputGraphsProd2Offering1IndAvg">Graphs!$F$70</definedName>
    <definedName name="tlOutputGraphsProd2Offering1Opening">Graphs!$D$70</definedName>
    <definedName name="tlOutputGraphsProd2Offering2Closing">Graphs!$E$69</definedName>
    <definedName name="tlOutputGraphsProd2Offering2IndAvg">Graphs!$F$69</definedName>
    <definedName name="tlOutputGraphsProd2Offering2Opening">Graphs!$D$69</definedName>
    <definedName name="tlOutputGraphsProd2Seg1DefRev">Graphs!$E$9</definedName>
    <definedName name="tlOutputGraphsProd2Seg1NewRev">Graphs!$E$5</definedName>
    <definedName name="tlOutputGraphsProd2Seg1OnPremRev">Graphs!$E$6</definedName>
    <definedName name="tlOutputGraphsProd2Seg1RenewedRev">Graphs!$E$7</definedName>
    <definedName name="tlOutputGraphsProd2Seg1ServicesRev">Graphs!$E$8</definedName>
    <definedName name="tlOutputGraphsProd2Seg1TotalRev">Graphs!$E$10</definedName>
    <definedName name="tlOutputGraphsProd2Seg2DefRev">Graphs!$E$17</definedName>
    <definedName name="tlOutputGraphsProd2Seg2NewRev">Graphs!$E$13</definedName>
    <definedName name="tlOutputGraphsProd2Seg2OnPremRev">Graphs!$E$14</definedName>
    <definedName name="tlOutputGraphsProd2Seg2RenewedRev">Graphs!$E$15</definedName>
    <definedName name="tlOutputGraphsProd2Seg2ServicesRev">Graphs!$E$16</definedName>
    <definedName name="tlOutputGraphsProd2Seg2TotalRev">Graphs!$E$18</definedName>
    <definedName name="tlOutputGraphsProd3Offering1Closing">Graphs!$E$66</definedName>
    <definedName name="tlOutputGraphsProd3Offering1IndAvg">Graphs!$F$66</definedName>
    <definedName name="tlOutputGraphsProd3Offering1Opening">Graphs!$D$66</definedName>
    <definedName name="tlOutputGraphsProd3Offering2Closing">Graphs!$E$65</definedName>
    <definedName name="tlOutputGraphsProd3Offering2IndAvg">Graphs!$F$65</definedName>
    <definedName name="tlOutputGraphsProd3Offering2Opening">Graphs!$D$65</definedName>
    <definedName name="tlOutputGraphsProd3Seg1NewRev">Graphs!$F$5</definedName>
    <definedName name="tlOutputGraphsProd3Seg1TotalRev">Graphs!$F$10</definedName>
    <definedName name="tlOutputGraphsProd3Seg2NewRev">Graphs!$F$13</definedName>
    <definedName name="tlOutputGraphsProd3Seg2TotalRev">Graphs!$F$18</definedName>
    <definedName name="tlOutputGraphsProd3Seg3NewRev">Graphs!$E$41</definedName>
    <definedName name="tlOutputGraphsProd3Seg3TotalRev">Graphs!$E$45</definedName>
    <definedName name="tlOutputGraphsScalabilityClosing">Graphs!$E$60</definedName>
    <definedName name="tlOutputGraphsScalabilityIndAvg">Graphs!$F$60</definedName>
    <definedName name="tlOutputGraphsScalabilityOpening">Graphs!$D$60</definedName>
    <definedName name="tlOutputGraphsSecurityClosing">Graphs!$E$62</definedName>
    <definedName name="tlOutputGraphsSecurityIndAvg">Graphs!$F$62</definedName>
    <definedName name="tlOutputGraphsSecurityOpening">Graphs!$D$62</definedName>
    <definedName name="tlOutputInfoBu9tton1">InfoButton!$D$38</definedName>
    <definedName name="tlOutputInfoButton1">InfoButton!$D$30</definedName>
    <definedName name="tlOutputInfoButton10">InfoButton!$D$39</definedName>
    <definedName name="tlOutputInfoButton11">InfoButton!$D$40</definedName>
    <definedName name="tlOutputInfoButton12">InfoButton!$D$41</definedName>
    <definedName name="tlOutputInfoButton13">InfoButton!$D$42</definedName>
    <definedName name="tlOutputInfoButton14">InfoButton!$D$43</definedName>
    <definedName name="tlOutputInfoButton15">InfoButton!$D$44</definedName>
    <definedName name="tlOutputInfoButton16">InfoButton!$D$45</definedName>
    <definedName name="tlOutputInfoButton17">InfoButton!$D$46</definedName>
    <definedName name="tlOutputInfoButton18">InfoButton!$D$47</definedName>
    <definedName name="tlOutputInfoButton19">InfoButton!$D$48</definedName>
    <definedName name="tlOutputInfoButton2">InfoButton!$D$31</definedName>
    <definedName name="tlOutputInfoButton20">InfoButton!$D$49</definedName>
    <definedName name="tlOutputInfoButton21">InfoButton!$D$50</definedName>
    <definedName name="tlOutputInfoButton22">InfoButton!$D$51</definedName>
    <definedName name="tlOutputInfoButton23">InfoButton!$D$52</definedName>
    <definedName name="tlOutputInfoButton24">InfoButton!$D$53</definedName>
    <definedName name="tlOutputInfoButton25">InfoButton!$D$54</definedName>
    <definedName name="tlOutputInfoButton26">InfoButton!$D$55</definedName>
    <definedName name="tlOutputInfoButton27">InfoButton!$D$56</definedName>
    <definedName name="tlOutputInfoButton28">InfoButton!$D$57</definedName>
    <definedName name="tlOutputInfoButton29">InfoButton!$D$58</definedName>
    <definedName name="tlOutputInfoButton3">InfoButton!$D$32</definedName>
    <definedName name="tlOutputInfoButton30">InfoButton!$D$59</definedName>
    <definedName name="tlOutputInfoButton31">InfoButton!$D$60</definedName>
    <definedName name="tlOutputInfoButton32">InfoButton!$D$61</definedName>
    <definedName name="tlOutputInfoButton33">InfoButton!$D$62</definedName>
    <definedName name="tlOutputInfoButton34">InfoButton!$D$63</definedName>
    <definedName name="tlOutputInfoButton35">InfoButton!$D$64</definedName>
    <definedName name="tlOutputInfoButton36">InfoButton!$D$65</definedName>
    <definedName name="tlOutputInfoButton37">InfoButton!$D$66</definedName>
    <definedName name="tlOutputInfoButton38">InfoButton!$D$67</definedName>
    <definedName name="tlOutputInfoButton39">InfoButton!$D$68</definedName>
    <definedName name="tlOutputInfoButton4">InfoButton!$D$33</definedName>
    <definedName name="tlOutputInfoButton40">InfoButton!$D$69</definedName>
    <definedName name="tlOutputInfoButton5">InfoButton!$D$34</definedName>
    <definedName name="tlOutputInfoButton6">InfoButton!$D$35</definedName>
    <definedName name="tlOutputInfoButton7">InfoButton!$D$36</definedName>
    <definedName name="tlOutputInfoButton8">InfoButton!$D$37</definedName>
    <definedName name="tlOutputIntroLabelSimTitle">tlInputIntro!$B$4</definedName>
    <definedName name="tlOutputOpsCollabOpening">tlInputOps!$E$28</definedName>
    <definedName name="tlOutputOpsCommercialMktgBudgetClosing">tlInputOps!$H$60</definedName>
    <definedName name="tlOutputOpsCommercialMktgBudgetOpening">tlInputOps!$H$61</definedName>
    <definedName name="tlOutputOpsCommercialProd1MktgBudgetClosing">tlInputOps!$H$67</definedName>
    <definedName name="tlOutputOpsCommercialProd2MktgBudgetClosing">tlInputOps!$H$72</definedName>
    <definedName name="tlOutputOpsCommercialProd2MktgBudgetOpening">tlInputOps!$H$73</definedName>
    <definedName name="tlOutputOpsCommercialProd3MktgBudgetClosing">tlInputOps!$H$77</definedName>
    <definedName name="tlOutputOpsCommercialProd3MktgBudgetOpening">tlInputOps!$H$78</definedName>
    <definedName name="tlOutputOpsConsumerMktgBudgetClosing">tlInputOps!$Q$60</definedName>
    <definedName name="tlOutputOpsConsumerMktgBudgetOpening">tlInputOps!$Q$61</definedName>
    <definedName name="tlOutputOpsConsumerProd1MktgBudgetClosing">tlInputOps!$Q$67</definedName>
    <definedName name="tlOutputOpsConsumerProd1MktgBudgetOpening">tlInputOps!$Q$68</definedName>
    <definedName name="tlOutputOpsConsumerProd3MktgBudgetClosing">tlInputOps!$Q$72</definedName>
    <definedName name="tlOutputOpsConsumerProd3MktgBudgetOpening">tlInputOps!$Q$73</definedName>
    <definedName name="tlOutputOpsDashboard1">tlInputOps!$H$2</definedName>
    <definedName name="tlOutputOpsDashboard2">tlInputOps!$H$4</definedName>
    <definedName name="tlOutputOpsDashboard3">tlInputOps!$H$7</definedName>
    <definedName name="tlOutputOpsDashboardAvgChurn">tlInputOps!$Q$6</definedName>
    <definedName name="tlOutputOpsDashboardAvgConsumption">tlInputOps!$N$6</definedName>
    <definedName name="tlOutputOpsDashboardCloudAdopt">tlInputOps!$K$6</definedName>
    <definedName name="tlOutputOpsDashboardCLV">tlInputOps!$K$3</definedName>
    <definedName name="tlOutputOpsDashboardCPE">tlInputOps!$N$9</definedName>
    <definedName name="tlOutputOpsDashboardFTEs">tlInputOps!$Q$9</definedName>
    <definedName name="tlOutputOpsDashboardGrossMargin">tlInputOps!$Q$4</definedName>
    <definedName name="tlOutputOpsDashboardGrossProfit">tlInputOps!$Q$3</definedName>
    <definedName name="tlOutputOpsDashboardOpMargin">tlInputOps!$T$4</definedName>
    <definedName name="tlOutputOpsDashboardOpProfit">tlInputOps!$T$3</definedName>
    <definedName name="tlOutputOpsDashboardRev">tlInputOps!$N$3</definedName>
    <definedName name="tlOutputOpsDashboardRevGrowth">tlInputOps!$N$4</definedName>
    <definedName name="tlOutputOpsDashboardWHI">tlInputOps!$K$9</definedName>
    <definedName name="tlOutputOpsDataCenterClosing">tlInputOps!$E$38</definedName>
    <definedName name="tlOutputOpsDataCenterCost">tlInputOps!$E$39</definedName>
    <definedName name="tlOutputOpsDataCenterRecUtiliz">tlInputOps!$E$40</definedName>
    <definedName name="tlOutputOpsGlobalDemandOpening">tlInputOps!$E$22</definedName>
    <definedName name="tlOutputOpsITOpening">tlInputOps!$E$19</definedName>
    <definedName name="tlOutputOpsLabelCustSuccess">tlInputOps!$H$11</definedName>
    <definedName name="tlOutputOpsSupplyChainOpening">tlInputOps!$E$25</definedName>
    <definedName name="tlOutputOpsTotalMarketingBudgetOpening">tlInputOps!$K$54</definedName>
    <definedName name="tlOutputPNLGenAdminExp">tlInputPNL!$N$43</definedName>
    <definedName name="tlOutputPNLGenAdminPct">tlInputPNL!$N$44</definedName>
    <definedName name="tlOutputPNLLabelProd1">tlInputPNL!$F$7</definedName>
    <definedName name="tlOutputPNLLabelProd2">tlInputPNL!$H$7</definedName>
    <definedName name="tlOutputPNLLabelProd3">tlInputPNL!$J$7</definedName>
    <definedName name="tlOutputPNLProd1Seg1COGS">tlInputPNL!$F$16</definedName>
    <definedName name="tlOutputPNLProd1Seg1GrossProfit">tlInputPNL!$F$22</definedName>
    <definedName name="tlOutputPNLProd1Seg1Rev">tlInputPNL!$F$10</definedName>
    <definedName name="tlOutputPNLProd1Seg2COGS">tlInputPNL!$F$17</definedName>
    <definedName name="tlOutputPNLProd1Seg2GrossProfit">tlInputPNL!$F$23</definedName>
    <definedName name="tlOutputPNLProd1Seg2Rev">tlInputPNL!$F$11</definedName>
    <definedName name="tlOutputPNLProd1Seg3COGS">tlInputPNL!$F$18</definedName>
    <definedName name="tlOutputPNLProd1Seg3GrossProfit">tlInputPNL!$F$24</definedName>
    <definedName name="tlOutputPNLProd1Seg3Rev">tlInputPNL!$F$12</definedName>
    <definedName name="tlOutputPNLProd1TotalCOGS">tlInputPNL!$F$19</definedName>
    <definedName name="tlOutputPNLProd1TotalGrossMargin">tlInputPNL!$F$27</definedName>
    <definedName name="tlOutputPNLProd1TotalGrossProfit">tlInputPNL!$F$26</definedName>
    <definedName name="tlOutputPNLProd1TotalRev">tlInputPNL!$F$13</definedName>
    <definedName name="tlOutputPNLProd2Seg1COGS">tlInputPNL!$H$16</definedName>
    <definedName name="tlOutputPNLProd2Seg1GrossProfit">tlInputPNL!$H$22</definedName>
    <definedName name="tlOutputPNLProd2Seg1Rev">tlInputPNL!$H$10</definedName>
    <definedName name="tlOutputPNLProd2Seg2COGS">tlInputPNL!$H$17</definedName>
    <definedName name="tlOutputPNLProd2Seg2GrossProfit">tlInputPNL!$H$23</definedName>
    <definedName name="tlOutputPNLProd2Seg2Rev">tlInputPNL!$H$11</definedName>
    <definedName name="tlOutputPNLProd2TotalCOGS">tlInputPNL!$H$19</definedName>
    <definedName name="tlOutputPNLProd2TotalGrossMargin">tlInputPNL!$H$27</definedName>
    <definedName name="tlOutputPNLProd2TotalGrossProfit">tlInputPNL!$H$26</definedName>
    <definedName name="tlOutputPNLProd2TotalRev">tlInputPNL!$H$13</definedName>
    <definedName name="tlOutputPNLProd3Seg1COGS">tlInputPNL!$J$16</definedName>
    <definedName name="tlOutputPNLProd3Seg1GrossProfit">tlInputPNL!$J$22</definedName>
    <definedName name="tlOutputPNLProd3Seg1Rev">tlInputPNL!$J$10</definedName>
    <definedName name="tlOutputPNLProd3Seg2COGS">tlInputPNL!$J$17</definedName>
    <definedName name="tlOutputPNLProd3Seg2GrossProfit">tlInputPNL!$J$23</definedName>
    <definedName name="tlOutputPNLProd3Seg2Rev">tlInputPNL!$J$11</definedName>
    <definedName name="tlOutputPNLProd3Seg3COGS">tlInputPNL!$J$18</definedName>
    <definedName name="tlOutputPNLProd3Seg3GrossProfit">tlInputPNL!$J$24</definedName>
    <definedName name="tlOutputPNLProd3Seg3Rev">tlInputPNL!$J$12</definedName>
    <definedName name="tlOutputPNLProd3TotalCOGS">tlInputPNL!$J$19</definedName>
    <definedName name="tlOutputPNLProd3TotalGrossMargin">tlInputPNL!$J$27</definedName>
    <definedName name="tlOutputPNLProd3TotalGrossProfit">tlInputPNL!$J$26</definedName>
    <definedName name="tlOutputPNLProd3TotalRev">tlInputPNL!$J$13</definedName>
    <definedName name="tlOutputPNLSalesMktgPct">tlInputPNL!$N$36</definedName>
    <definedName name="tlOutputPNLSeg1TotalCOGS">tlInputPNL!$N$16</definedName>
    <definedName name="tlOutputPNLSeg1TotalGrossProfit">tlInputPNL!$N$22</definedName>
    <definedName name="tlOutputPNLSeg1TotalRev">tlInputPNL!$N$10</definedName>
    <definedName name="tlOutputPNLSeg2TotalCOGS">tlInputPNL!$N$17</definedName>
    <definedName name="tlOutputPNLSeg2TotalGrossProfit">tlInputPNL!$N$23</definedName>
    <definedName name="tlOutputPNLSeg2TotalRev">tlInputPNL!$N$11</definedName>
    <definedName name="tlOutputPNLSeg3TotalCOGS">tlInputPNL!$N$18</definedName>
    <definedName name="tlOutputPNLSeg3TotalGrossProfit">tlInputPNL!$N$24</definedName>
    <definedName name="tlOutputPNLSeg3TotalRev">tlInputPNL!$N$12</definedName>
    <definedName name="tlOutputPNLTotalCOGS">tlInputPNL!$N$19</definedName>
    <definedName name="tlOutputPNLTotalGrossMargin">tlInputPNL!$N$27</definedName>
    <definedName name="tlOutputPNLTotalGrossProfit">tlInputPNL!$N$26</definedName>
    <definedName name="tlOutputPNLTotalMiscExp">tlInputPNL!$N$42</definedName>
    <definedName name="tlOutputPNLTotalMktgExp">tlInputPNL!$N$30</definedName>
    <definedName name="tlOutputPNLTotalOpMargin">tlInputPNL!$N$47</definedName>
    <definedName name="tlOutputPNLTotalOpProfit">tlInputPNL!$N$46</definedName>
    <definedName name="tlOutputPNLTotalOpsExp">tlInputPNL!$N$40</definedName>
    <definedName name="tlOutputPNLTotalPartnerExp">tlInputPNL!$N$31</definedName>
    <definedName name="tlOutputPNLTotalPartnerSalaryExp">tlInputPNL!$N$34</definedName>
    <definedName name="tlOutputPNLTotalResource1Exp">tlInputPNL!$N$32</definedName>
    <definedName name="tlOutputPNLTotalResource2Exp">tlInputPNL!$N$33</definedName>
    <definedName name="tlOutputPNLTotalRev">tlInputPNL!$N$13</definedName>
    <definedName name="tlOutputPNLTotalSalesMktgExp">tlInputPNL!$N$35</definedName>
    <definedName name="tlOutputPNLTotalTalentExp">tlInputPNL!$N$39</definedName>
    <definedName name="tlOutputPNLTotalUnallocatedSalaryExp">tlInputPNL!$N$41</definedName>
    <definedName name="tlOutputWobbler301ConditionA">Popup_Wobbler!$U$36</definedName>
    <definedName name="tlOutputWobbler301ConditionB">Popup_Wobbler!$X$36</definedName>
    <definedName name="ToolSetupColumnsDelete">ToolSetup!$D$31</definedName>
    <definedName name="ToolSetupColumnsDeleteSheets">ToolSetup!$D$34:$D$57</definedName>
    <definedName name="ToolSetupSheetsDelete">ToolSetup!$D$8:$D$27</definedName>
    <definedName name="vbaPopupMenu1ItemNumber">PopUp!$E$44</definedName>
    <definedName name="vbaPopupMenu1ListFaceID">PopUp!$L$10:$L$38</definedName>
    <definedName name="vbaPopupMenu1ListLevel">PopUp!$E$10:$E$38</definedName>
    <definedName name="vbaPopupMenu1ListMacro">PopUp!$K$10:$K$38</definedName>
    <definedName name="vbaPopupMenu1ListTitle">PopUp!$F$10:$F$38</definedName>
    <definedName name="vbaPopupMenu1Lvl1ItemNumber">PopUp!$E$42</definedName>
    <definedName name="vbaPopupMenu1Lvl2ItemNumber">PopUp!$E$43</definedName>
    <definedName name="vbaPopupMenuActive">PopUp!$E$4</definedName>
    <definedName name="vbaPopupMenuName">PopUp!$E$3</definedName>
    <definedName name="VideoTutorial1">Controls!$D$58</definedName>
    <definedName name="VideoTutorial2">Controls!$D$59</definedName>
    <definedName name="VideoTutorial3">Controls!$D$60</definedName>
    <definedName name="VideoTutorial4">Controls!$D$61</definedName>
    <definedName name="VideoWobbler1">Popup_Wobbler!$B$300</definedName>
    <definedName name="WobblerCalcLaunchedRows">calcWobbler!$C$52:$C$151</definedName>
    <definedName name="WobblerCalcRound">calcWobbler!$E$4</definedName>
    <definedName name="WobblerCalcRoundsIntoLaunchRows">calcWobbler!$C$155:$C$254</definedName>
    <definedName name="WobblerCalcTableLaunched">calcWobbler!$D$52:$N$67</definedName>
    <definedName name="WobblerCalcTableRoundsIntoLaunch">calcWobbler!$D$155:$N$170</definedName>
    <definedName name="WobblerVideoCurrent">Popup_Wobbler!$B$306</definedName>
    <definedName name="Workspace">Glossary!$C$60</definedName>
    <definedName name="xxAudience">Controls!$D$23</definedName>
    <definedName name="xxDemoTool">Controls!$D$25</definedName>
    <definedName name="xxIndexTeam">Controls!$D$21</definedName>
    <definedName name="xxNumOfTeams">Controls!$D$13</definedName>
    <definedName name="xxObalTeam10">Obal!$N$4:$N$290</definedName>
    <definedName name="xxObalTeam2">Obal!$F$4:$F$290</definedName>
    <definedName name="xxObalTeam3">Obal!$G$4:$G$290</definedName>
    <definedName name="xxObalTeam4">Obal!$H$4:$H$290</definedName>
    <definedName name="xxObalTeam5">Obal!$I$4:$I$290</definedName>
    <definedName name="xxObalTeam6">Obal!$J$4:$J$290</definedName>
    <definedName name="xxObalTeam7">Obal!$K$4:$K$290</definedName>
    <definedName name="xxObalTeam8">Obal!$L$4:$L$290</definedName>
    <definedName name="xxObalTeam9">Obal!$M$4:$M$290</definedName>
    <definedName name="xxPopupVideoWobbler">Popup_Wobbler!$AG$164</definedName>
    <definedName name="xxPopupWobblerCond1Met">Popup_Wobbler!$U$164</definedName>
    <definedName name="xxPopupWobblerCond2Met">Popup_Wobbler!$X$164</definedName>
    <definedName name="xxPopupWobblerCond3Met">Popup_Wobbler!$AA$164</definedName>
    <definedName name="xxPopupWobblerCond4Met">Popup_Wobbler!$AD$164</definedName>
    <definedName name="xxPopupWobblerCondExp1Next">Popup_Wobbler!$W$164</definedName>
    <definedName name="xxPopupWobblerCondExp1Text">Popup_Wobbler!$V$164</definedName>
    <definedName name="xxPopupWobblerCondExp2Next">Popup_Wobbler!$Z$164</definedName>
    <definedName name="xxPopupWobblerCondExp2Text">Popup_Wobbler!$Y$164</definedName>
    <definedName name="xxPopupWobblerCondExp3Next">Popup_Wobbler!$AC$164</definedName>
    <definedName name="xxPopupWobblerCondExp3Text">Popup_Wobbler!$AB$164</definedName>
    <definedName name="xxPopupWobblerCondExp4Next">Popup_Wobbler!$AF$164</definedName>
    <definedName name="xxPopupWobblerCondExp4Text">Popup_Wobbler!$AE$164</definedName>
    <definedName name="xxPopUpWobblerConditional">Popup_Wobbler!$C$164</definedName>
    <definedName name="xxPopupWobblerCurrent">Popup_Wobbler!$C$160</definedName>
    <definedName name="xxPopupWobblerDecMinDiff">Popup_Wobbler!$D$164</definedName>
    <definedName name="xxPopupWobblerDecRange">Popup_Wobbler!$E$164</definedName>
    <definedName name="xxPopupWobblerDescription">Popup_Wobbler!$H$164</definedName>
    <definedName name="xxPopupWobblerExplain1Next">Popup_Wobbler!$N$164</definedName>
    <definedName name="xxPopupWobblerExplain1Text">Popup_Wobbler!$M$164</definedName>
    <definedName name="xxPopupWobblerExplain2Next">Popup_Wobbler!$P$164</definedName>
    <definedName name="xxPopupWobblerExplain2Text">Popup_Wobbler!$O$164</definedName>
    <definedName name="xxPopupWobblerExplain3Next">Popup_Wobbler!$R$164</definedName>
    <definedName name="xxPopupWobblerExplain3Text">Popup_Wobbler!$Q$164</definedName>
    <definedName name="xxPopupWobblerExplain4Next">Popup_Wobbler!$T$164</definedName>
    <definedName name="xxPopupWobblerExplain4Text">Popup_Wobbler!$S$164</definedName>
    <definedName name="xxPopupWobblerMax">Popup_Wobbler!$C$159</definedName>
    <definedName name="xxPopupWobblerNumber">Popup_Wobbler!$B$164</definedName>
    <definedName name="xxPopupWobblerOption1Text">Popup_Wobbler!$I$164</definedName>
    <definedName name="xxPopupWobblerOption2Text">Popup_Wobbler!$J$164</definedName>
    <definedName name="xxPopupWobblerOption3Text">Popup_Wobbler!$K$164</definedName>
    <definedName name="xxPopupWobblerOption4Text">Popup_Wobbler!$L$164</definedName>
    <definedName name="xxPopupWobblerStartY1">Popup_Wobbler!$F$160</definedName>
    <definedName name="xxPopupWobblerStartY2">Popup_Wobbler!$G$160</definedName>
    <definedName name="xxPopupWobblerStartY3">Popup_Wobbler!$H$160</definedName>
    <definedName name="xxPopupWobblerStartY4">Popup_Wobbler!$I$160</definedName>
    <definedName name="xxPopupWobblerTitle">Popup_Wobbler!$G$164</definedName>
    <definedName name="xxPopupWobblerValid">Popup_Wobbler!$E$170:$H$191</definedName>
    <definedName name="xxResetTeam">ToolSetup!$D$4</definedName>
    <definedName name="xxRound">Controls!$D$17</definedName>
    <definedName name="xxSim0Tool1">Controls!$D$19</definedName>
    <definedName name="xxToolPrefix">Controls!$D$31</definedName>
    <definedName name="xxVideoWobblerRange">Popup_Wobbler!$AH$164</definedName>
  </definedNames>
  <calcPr calcId="171027"/>
</workbook>
</file>

<file path=xl/calcChain.xml><?xml version="1.0" encoding="utf-8"?>
<calcChain xmlns="http://schemas.openxmlformats.org/spreadsheetml/2006/main">
  <c r="H61" i="36" l="1"/>
  <c r="H60" i="36"/>
  <c r="D74" i="33"/>
  <c r="E196" i="59" l="1"/>
  <c r="E192" i="59"/>
  <c r="E188" i="59"/>
  <c r="E63" i="72" l="1"/>
  <c r="E61" i="72"/>
  <c r="E49" i="72"/>
  <c r="E37" i="72"/>
  <c r="E24" i="72"/>
  <c r="E47" i="72"/>
  <c r="E35" i="72"/>
  <c r="E22" i="72"/>
  <c r="E8" i="72"/>
  <c r="D22" i="6" l="1"/>
  <c r="D21" i="6"/>
  <c r="D19" i="6"/>
  <c r="D20" i="6"/>
  <c r="H77" i="40" l="1"/>
  <c r="B77" i="40"/>
  <c r="H58" i="40"/>
  <c r="H39" i="40"/>
  <c r="B58" i="40"/>
  <c r="B39" i="40"/>
  <c r="D74" i="83"/>
  <c r="D87" i="83"/>
  <c r="R99" i="83"/>
  <c r="D99" i="83"/>
  <c r="D98" i="83"/>
  <c r="D97" i="83"/>
  <c r="D96" i="83"/>
  <c r="D95" i="83"/>
  <c r="D94" i="83"/>
  <c r="P92" i="83"/>
  <c r="O92" i="83"/>
  <c r="B22" i="23"/>
  <c r="B21" i="23"/>
  <c r="B20" i="23"/>
  <c r="AB22" i="23"/>
  <c r="AA22" i="23"/>
  <c r="N22" i="23" s="1"/>
  <c r="Z22" i="23"/>
  <c r="M22" i="23" s="1"/>
  <c r="Y22" i="23"/>
  <c r="L22" i="23" s="1"/>
  <c r="X22" i="23"/>
  <c r="K22" i="23" s="1"/>
  <c r="W22" i="23"/>
  <c r="J22" i="23" s="1"/>
  <c r="V22" i="23"/>
  <c r="I22" i="23" s="1"/>
  <c r="U22" i="23"/>
  <c r="H22" i="23" s="1"/>
  <c r="T22" i="23"/>
  <c r="G22" i="23" s="1"/>
  <c r="S22" i="23"/>
  <c r="F22" i="23" s="1"/>
  <c r="R22" i="23"/>
  <c r="E22" i="23" s="1"/>
  <c r="P22" i="23"/>
  <c r="O22" i="23"/>
  <c r="AB21" i="23"/>
  <c r="P21" i="23"/>
  <c r="O21" i="23"/>
  <c r="AB20" i="23"/>
  <c r="P20" i="23"/>
  <c r="O20" i="23"/>
  <c r="E123" i="4" l="1"/>
  <c r="E122" i="4"/>
  <c r="E121" i="4"/>
  <c r="E120" i="4"/>
  <c r="E119" i="4"/>
  <c r="E118" i="4"/>
  <c r="E117" i="4"/>
  <c r="E116" i="4"/>
  <c r="E113" i="4"/>
  <c r="E112" i="4"/>
  <c r="E111" i="4"/>
  <c r="E109" i="4"/>
  <c r="E108" i="4"/>
  <c r="E107" i="4"/>
  <c r="E104" i="4"/>
  <c r="E103" i="4"/>
  <c r="E102" i="4"/>
  <c r="E99" i="4"/>
  <c r="E98" i="4"/>
  <c r="E95" i="4"/>
  <c r="E94" i="4"/>
  <c r="E91" i="4"/>
  <c r="E90" i="4"/>
  <c r="E86" i="4"/>
  <c r="E83" i="4"/>
  <c r="E82" i="4"/>
  <c r="E81" i="4"/>
  <c r="E80" i="4"/>
  <c r="E78" i="4"/>
  <c r="E77" i="4"/>
  <c r="E76" i="4"/>
  <c r="E73" i="4"/>
  <c r="E72" i="4"/>
  <c r="E71" i="4"/>
  <c r="E68" i="4"/>
  <c r="E67" i="4"/>
  <c r="E66" i="4"/>
  <c r="E63" i="4"/>
  <c r="E62" i="4"/>
  <c r="E61" i="4"/>
  <c r="E58" i="4"/>
  <c r="E57" i="4"/>
  <c r="E56" i="4"/>
  <c r="E55" i="4"/>
  <c r="E54" i="4"/>
  <c r="E53" i="4"/>
  <c r="E49" i="4"/>
  <c r="E48" i="4"/>
  <c r="E45" i="4"/>
  <c r="E44" i="4"/>
  <c r="E41" i="4"/>
  <c r="E40" i="4"/>
  <c r="E37" i="4"/>
  <c r="E36" i="4"/>
  <c r="E35" i="4"/>
  <c r="E31" i="4"/>
  <c r="E28" i="4"/>
  <c r="E27" i="4"/>
  <c r="E26" i="4"/>
  <c r="E25" i="4"/>
  <c r="E21" i="4"/>
  <c r="E17" i="4"/>
  <c r="E16" i="4"/>
  <c r="E15" i="4"/>
  <c r="E13" i="4"/>
  <c r="L30" i="8" l="1"/>
  <c r="L64" i="54" s="1"/>
  <c r="G26" i="4"/>
  <c r="F38" i="89"/>
  <c r="F37" i="89"/>
  <c r="F39" i="89"/>
  <c r="F40" i="89"/>
  <c r="F41" i="89"/>
  <c r="F42" i="89"/>
  <c r="F43" i="89"/>
  <c r="F44" i="89"/>
  <c r="F45" i="89"/>
  <c r="F46" i="89"/>
  <c r="G36" i="89"/>
  <c r="H36" i="89"/>
  <c r="I36" i="89"/>
  <c r="J36" i="89"/>
  <c r="G37" i="89"/>
  <c r="H37" i="89"/>
  <c r="I37" i="89"/>
  <c r="J37" i="89"/>
  <c r="G38" i="89"/>
  <c r="H38" i="89"/>
  <c r="I38" i="89"/>
  <c r="J38" i="89"/>
  <c r="G39" i="89"/>
  <c r="H39" i="89"/>
  <c r="I39" i="89"/>
  <c r="J39" i="89"/>
  <c r="G40" i="89"/>
  <c r="H40" i="89"/>
  <c r="I40" i="89"/>
  <c r="J40" i="89"/>
  <c r="G41" i="89"/>
  <c r="H41" i="89"/>
  <c r="I41" i="89"/>
  <c r="J41" i="89"/>
  <c r="G42" i="89"/>
  <c r="H42" i="89"/>
  <c r="I42" i="89"/>
  <c r="J42" i="89"/>
  <c r="G43" i="89"/>
  <c r="H43" i="89"/>
  <c r="I43" i="89"/>
  <c r="J43" i="89"/>
  <c r="G44" i="89"/>
  <c r="H44" i="89"/>
  <c r="I44" i="89"/>
  <c r="J44" i="89"/>
  <c r="G45" i="89"/>
  <c r="H45" i="89"/>
  <c r="I45" i="89"/>
  <c r="J45" i="89"/>
  <c r="G46" i="89"/>
  <c r="H46" i="89"/>
  <c r="I46" i="89"/>
  <c r="J46" i="89"/>
  <c r="F47" i="89"/>
  <c r="G47" i="89"/>
  <c r="H47" i="89"/>
  <c r="I47" i="89"/>
  <c r="J47" i="89"/>
  <c r="E22" i="36"/>
  <c r="D47" i="89"/>
  <c r="D46" i="89"/>
  <c r="D45" i="89"/>
  <c r="D44" i="89"/>
  <c r="D43" i="89"/>
  <c r="D42" i="89"/>
  <c r="D41" i="89"/>
  <c r="D40" i="89"/>
  <c r="D39" i="89"/>
  <c r="D38" i="89"/>
  <c r="D37" i="89"/>
  <c r="F36" i="89"/>
  <c r="B30" i="8"/>
  <c r="A30" i="8"/>
  <c r="M49" i="89"/>
  <c r="H30" i="8"/>
  <c r="H64" i="54" s="1"/>
  <c r="D71" i="15"/>
  <c r="D70" i="15"/>
  <c r="D69" i="15"/>
  <c r="I49" i="89" l="1"/>
  <c r="N30" i="8"/>
  <c r="N64" i="54" s="1"/>
  <c r="G30" i="8"/>
  <c r="G64" i="54" s="1"/>
  <c r="E49" i="89"/>
  <c r="J30" i="8"/>
  <c r="J64" i="54" s="1"/>
  <c r="F30" i="8"/>
  <c r="F64" i="54" s="1"/>
  <c r="C202" i="21"/>
  <c r="C214" i="21"/>
  <c r="C188" i="21"/>
  <c r="F49" i="89"/>
  <c r="J49" i="89"/>
  <c r="N49" i="89"/>
  <c r="H49" i="89"/>
  <c r="I30" i="8"/>
  <c r="K30" i="8"/>
  <c r="L49" i="89"/>
  <c r="E52" i="57"/>
  <c r="E30" i="8"/>
  <c r="M30" i="8"/>
  <c r="G49" i="89"/>
  <c r="K49" i="89"/>
  <c r="E20" i="57"/>
  <c r="P61" i="23"/>
  <c r="P60" i="23"/>
  <c r="P59" i="23"/>
  <c r="P58" i="23"/>
  <c r="P57" i="23"/>
  <c r="P56" i="23"/>
  <c r="P53" i="23"/>
  <c r="P52" i="23"/>
  <c r="P47" i="23"/>
  <c r="P46" i="23"/>
  <c r="P45" i="23"/>
  <c r="P44" i="23"/>
  <c r="P43" i="23"/>
  <c r="P42" i="23"/>
  <c r="P41" i="23"/>
  <c r="P40" i="23"/>
  <c r="P39" i="23"/>
  <c r="P36" i="23"/>
  <c r="P35" i="23"/>
  <c r="P34" i="23"/>
  <c r="P33" i="23"/>
  <c r="P32" i="23"/>
  <c r="P31" i="23"/>
  <c r="P28" i="23"/>
  <c r="P27" i="23"/>
  <c r="P26" i="23"/>
  <c r="P25" i="23"/>
  <c r="P24" i="23"/>
  <c r="P23" i="23"/>
  <c r="P19" i="23"/>
  <c r="P18" i="23"/>
  <c r="P17" i="23"/>
  <c r="P16" i="23"/>
  <c r="P15" i="23"/>
  <c r="P14" i="23"/>
  <c r="P13" i="23"/>
  <c r="P12" i="23"/>
  <c r="P11" i="23"/>
  <c r="P10" i="23"/>
  <c r="P9" i="23"/>
  <c r="P8" i="23"/>
  <c r="AB61" i="23"/>
  <c r="AA61" i="23"/>
  <c r="Z61" i="23"/>
  <c r="Y61" i="23"/>
  <c r="X61" i="23"/>
  <c r="W61" i="23"/>
  <c r="V61" i="23"/>
  <c r="U61" i="23"/>
  <c r="T61" i="23"/>
  <c r="S61" i="23"/>
  <c r="R61" i="23"/>
  <c r="AB60" i="23"/>
  <c r="AA60" i="23"/>
  <c r="Z60" i="23"/>
  <c r="Y60" i="23"/>
  <c r="X60" i="23"/>
  <c r="W60" i="23"/>
  <c r="V60" i="23"/>
  <c r="U60" i="23"/>
  <c r="T60" i="23"/>
  <c r="S60" i="23"/>
  <c r="R60" i="23"/>
  <c r="AB59" i="23"/>
  <c r="AA59" i="23"/>
  <c r="Z59" i="23"/>
  <c r="Y59" i="23"/>
  <c r="X59" i="23"/>
  <c r="W59" i="23"/>
  <c r="V59" i="23"/>
  <c r="U59" i="23"/>
  <c r="T59" i="23"/>
  <c r="S59" i="23"/>
  <c r="R59" i="23"/>
  <c r="AB58" i="23"/>
  <c r="AA58" i="23"/>
  <c r="Z58" i="23"/>
  <c r="Y58" i="23"/>
  <c r="X58" i="23"/>
  <c r="W58" i="23"/>
  <c r="V58" i="23"/>
  <c r="U58" i="23"/>
  <c r="T58" i="23"/>
  <c r="S58" i="23"/>
  <c r="R58" i="23"/>
  <c r="AB57" i="23"/>
  <c r="AA57" i="23"/>
  <c r="Z57" i="23"/>
  <c r="Y57" i="23"/>
  <c r="X57" i="23"/>
  <c r="W57" i="23"/>
  <c r="V57" i="23"/>
  <c r="U57" i="23"/>
  <c r="T57" i="23"/>
  <c r="S57" i="23"/>
  <c r="R57" i="23"/>
  <c r="AB56" i="23"/>
  <c r="AA56" i="23"/>
  <c r="Z56" i="23"/>
  <c r="Y56" i="23"/>
  <c r="X56" i="23"/>
  <c r="W56" i="23"/>
  <c r="V56" i="23"/>
  <c r="U56" i="23"/>
  <c r="T56" i="23"/>
  <c r="S56" i="23"/>
  <c r="R56" i="23"/>
  <c r="AB53" i="23"/>
  <c r="AA53" i="23"/>
  <c r="Z53" i="23"/>
  <c r="Y53" i="23"/>
  <c r="X53" i="23"/>
  <c r="W53" i="23"/>
  <c r="V53" i="23"/>
  <c r="U53" i="23"/>
  <c r="T53" i="23"/>
  <c r="S53" i="23"/>
  <c r="R53" i="23"/>
  <c r="AB52" i="23"/>
  <c r="AA52" i="23"/>
  <c r="Z52" i="23"/>
  <c r="Y52" i="23"/>
  <c r="X52" i="23"/>
  <c r="W52" i="23"/>
  <c r="V52" i="23"/>
  <c r="U52" i="23"/>
  <c r="T52" i="23"/>
  <c r="S52" i="23"/>
  <c r="R52" i="23"/>
  <c r="AB47" i="23"/>
  <c r="AA47" i="23"/>
  <c r="Z47" i="23"/>
  <c r="Y47" i="23"/>
  <c r="X47" i="23"/>
  <c r="W47" i="23"/>
  <c r="V47" i="23"/>
  <c r="U47" i="23"/>
  <c r="T47" i="23"/>
  <c r="S47" i="23"/>
  <c r="R47" i="23"/>
  <c r="AB46" i="23"/>
  <c r="AA46" i="23"/>
  <c r="Z46" i="23"/>
  <c r="Y46" i="23"/>
  <c r="X46" i="23"/>
  <c r="W46" i="23"/>
  <c r="V46" i="23"/>
  <c r="U46" i="23"/>
  <c r="T46" i="23"/>
  <c r="S46" i="23"/>
  <c r="R46" i="23"/>
  <c r="AB45" i="23"/>
  <c r="AA45" i="23"/>
  <c r="Z45" i="23"/>
  <c r="Y45" i="23"/>
  <c r="X45" i="23"/>
  <c r="W45" i="23"/>
  <c r="V45" i="23"/>
  <c r="U45" i="23"/>
  <c r="T45" i="23"/>
  <c r="S45" i="23"/>
  <c r="R45" i="23"/>
  <c r="AB44" i="23"/>
  <c r="AB43" i="23"/>
  <c r="AB42" i="23"/>
  <c r="AB41" i="23"/>
  <c r="AB40" i="23"/>
  <c r="AB39" i="23"/>
  <c r="AB36" i="23"/>
  <c r="AA36" i="23"/>
  <c r="Z36" i="23"/>
  <c r="Y36" i="23"/>
  <c r="X36" i="23"/>
  <c r="W36" i="23"/>
  <c r="V36" i="23"/>
  <c r="U36" i="23"/>
  <c r="T36" i="23"/>
  <c r="S36" i="23"/>
  <c r="R36" i="23"/>
  <c r="AB35" i="23"/>
  <c r="AA35" i="23"/>
  <c r="Z35" i="23"/>
  <c r="Y35" i="23"/>
  <c r="X35" i="23"/>
  <c r="W35" i="23"/>
  <c r="V35" i="23"/>
  <c r="U35" i="23"/>
  <c r="T35" i="23"/>
  <c r="S35" i="23"/>
  <c r="R35" i="23"/>
  <c r="AB34" i="23"/>
  <c r="AA34" i="23"/>
  <c r="Z34" i="23"/>
  <c r="Y34" i="23"/>
  <c r="X34" i="23"/>
  <c r="W34" i="23"/>
  <c r="V34" i="23"/>
  <c r="U34" i="23"/>
  <c r="T34" i="23"/>
  <c r="S34" i="23"/>
  <c r="R34" i="23"/>
  <c r="AB33" i="23"/>
  <c r="AA33" i="23"/>
  <c r="Z33" i="23"/>
  <c r="Y33" i="23"/>
  <c r="X33" i="23"/>
  <c r="W33" i="23"/>
  <c r="V33" i="23"/>
  <c r="U33" i="23"/>
  <c r="T33" i="23"/>
  <c r="S33" i="23"/>
  <c r="R33" i="23"/>
  <c r="AB32" i="23"/>
  <c r="AA32" i="23"/>
  <c r="Z32" i="23"/>
  <c r="Y32" i="23"/>
  <c r="X32" i="23"/>
  <c r="W32" i="23"/>
  <c r="V32" i="23"/>
  <c r="U32" i="23"/>
  <c r="T32" i="23"/>
  <c r="S32" i="23"/>
  <c r="R32" i="23"/>
  <c r="AB31" i="23"/>
  <c r="AA31" i="23"/>
  <c r="Z31" i="23"/>
  <c r="Y31" i="23"/>
  <c r="X31" i="23"/>
  <c r="W31" i="23"/>
  <c r="V31" i="23"/>
  <c r="U31" i="23"/>
  <c r="T31" i="23"/>
  <c r="S31" i="23"/>
  <c r="R31" i="23"/>
  <c r="AB28" i="23"/>
  <c r="AB27" i="23"/>
  <c r="AB26" i="23"/>
  <c r="AA26" i="23"/>
  <c r="Z26" i="23"/>
  <c r="Y26" i="23"/>
  <c r="X26" i="23"/>
  <c r="W26" i="23"/>
  <c r="V26" i="23"/>
  <c r="U26" i="23"/>
  <c r="T26" i="23"/>
  <c r="S26" i="23"/>
  <c r="R26" i="23"/>
  <c r="AB25" i="23"/>
  <c r="AB24" i="23"/>
  <c r="AB23" i="23"/>
  <c r="AA23" i="23"/>
  <c r="Z23" i="23"/>
  <c r="Y23" i="23"/>
  <c r="X23" i="23"/>
  <c r="W23" i="23"/>
  <c r="V23" i="23"/>
  <c r="U23" i="23"/>
  <c r="T23" i="23"/>
  <c r="S23" i="23"/>
  <c r="R23" i="23"/>
  <c r="AB19" i="23"/>
  <c r="AA19" i="23"/>
  <c r="Z19" i="23"/>
  <c r="Y19" i="23"/>
  <c r="X19" i="23"/>
  <c r="W19" i="23"/>
  <c r="V19" i="23"/>
  <c r="U19" i="23"/>
  <c r="T19" i="23"/>
  <c r="S19" i="23"/>
  <c r="R19" i="23"/>
  <c r="AB18" i="23"/>
  <c r="AB17" i="23"/>
  <c r="AB16" i="23"/>
  <c r="AA16" i="23"/>
  <c r="Z16" i="23"/>
  <c r="Y16" i="23"/>
  <c r="X16" i="23"/>
  <c r="W16" i="23"/>
  <c r="V16" i="23"/>
  <c r="U16" i="23"/>
  <c r="T16" i="23"/>
  <c r="S16" i="23"/>
  <c r="R16" i="23"/>
  <c r="AB15" i="23"/>
  <c r="AA15" i="23"/>
  <c r="Z15" i="23"/>
  <c r="Y15" i="23"/>
  <c r="X15" i="23"/>
  <c r="W15" i="23"/>
  <c r="V15" i="23"/>
  <c r="U15" i="23"/>
  <c r="T15" i="23"/>
  <c r="S15" i="23"/>
  <c r="R15" i="23"/>
  <c r="AB14" i="23"/>
  <c r="AA14" i="23"/>
  <c r="Z14" i="23"/>
  <c r="Y14" i="23"/>
  <c r="X14" i="23"/>
  <c r="W14" i="23"/>
  <c r="V14" i="23"/>
  <c r="U14" i="23"/>
  <c r="T14" i="23"/>
  <c r="S14" i="23"/>
  <c r="R14" i="23"/>
  <c r="AB13" i="23"/>
  <c r="AA13" i="23"/>
  <c r="Z13" i="23"/>
  <c r="Y13" i="23"/>
  <c r="X13" i="23"/>
  <c r="W13" i="23"/>
  <c r="V13" i="23"/>
  <c r="U13" i="23"/>
  <c r="T13" i="23"/>
  <c r="S13" i="23"/>
  <c r="R13" i="23"/>
  <c r="AB12" i="23"/>
  <c r="AA12" i="23"/>
  <c r="Z12" i="23"/>
  <c r="Y12" i="23"/>
  <c r="X12" i="23"/>
  <c r="W12" i="23"/>
  <c r="V12" i="23"/>
  <c r="U12" i="23"/>
  <c r="T12" i="23"/>
  <c r="S12" i="23"/>
  <c r="R12" i="23"/>
  <c r="AB11" i="23"/>
  <c r="AB10" i="23"/>
  <c r="AB9" i="23"/>
  <c r="AB8" i="23"/>
  <c r="M64" i="54" l="1"/>
  <c r="E64" i="54"/>
  <c r="K64" i="54"/>
  <c r="I64" i="54"/>
  <c r="N27" i="83"/>
  <c r="M27" i="83"/>
  <c r="L27" i="83"/>
  <c r="K27" i="83"/>
  <c r="J27" i="83"/>
  <c r="I27" i="83"/>
  <c r="H27" i="83"/>
  <c r="G27" i="83"/>
  <c r="F27" i="83"/>
  <c r="E27" i="83"/>
  <c r="N21" i="83"/>
  <c r="M21" i="83"/>
  <c r="L21" i="83"/>
  <c r="K21" i="83"/>
  <c r="J21" i="83"/>
  <c r="I21" i="83"/>
  <c r="H21" i="83"/>
  <c r="G21" i="83"/>
  <c r="F21" i="83"/>
  <c r="E21" i="83"/>
  <c r="Q71" i="36" l="1"/>
  <c r="E22" i="4" s="1"/>
  <c r="H76" i="36"/>
  <c r="E18" i="4" s="1"/>
  <c r="C151" i="81" l="1"/>
  <c r="C150" i="81"/>
  <c r="C149" i="81"/>
  <c r="C148" i="81"/>
  <c r="C147" i="81"/>
  <c r="C146" i="81"/>
  <c r="C145" i="81"/>
  <c r="C144" i="81"/>
  <c r="C143" i="81"/>
  <c r="C142" i="81"/>
  <c r="C141" i="81"/>
  <c r="C140" i="81"/>
  <c r="C97" i="38"/>
  <c r="C4" i="101" l="1"/>
  <c r="I342" i="101" l="1"/>
  <c r="I272" i="101"/>
  <c r="A270" i="101"/>
  <c r="A269" i="101"/>
  <c r="A268" i="101"/>
  <c r="A265" i="101"/>
  <c r="A264" i="101"/>
  <c r="A263" i="101"/>
  <c r="A262" i="101"/>
  <c r="A261" i="101"/>
  <c r="A260" i="101"/>
  <c r="A259" i="101"/>
  <c r="A258" i="101"/>
  <c r="A257" i="101"/>
  <c r="A256" i="101"/>
  <c r="A255" i="101"/>
  <c r="A254" i="101"/>
  <c r="A253" i="101"/>
  <c r="A252" i="101"/>
  <c r="A251" i="101"/>
  <c r="A250" i="101"/>
  <c r="A249" i="101"/>
  <c r="A248" i="101"/>
  <c r="A247" i="101"/>
  <c r="A246" i="101"/>
  <c r="A245" i="101"/>
  <c r="A244" i="101"/>
  <c r="A243" i="101"/>
  <c r="A242" i="101"/>
  <c r="A241" i="101"/>
  <c r="A240" i="101"/>
  <c r="A239" i="101"/>
  <c r="A238" i="101"/>
  <c r="A237" i="101"/>
  <c r="A236" i="101"/>
  <c r="A235" i="101"/>
  <c r="A231" i="101"/>
  <c r="A230" i="101"/>
  <c r="A229" i="101"/>
  <c r="A228" i="101"/>
  <c r="A227" i="101"/>
  <c r="A226" i="101"/>
  <c r="F225" i="101"/>
  <c r="A225" i="101"/>
  <c r="A224" i="101"/>
  <c r="A223" i="101"/>
  <c r="A222" i="101"/>
  <c r="A221" i="101"/>
  <c r="I202" i="101"/>
  <c r="A200" i="101"/>
  <c r="A199" i="101"/>
  <c r="A198" i="101"/>
  <c r="A195" i="101"/>
  <c r="A194" i="101"/>
  <c r="A193" i="101"/>
  <c r="A192" i="101"/>
  <c r="A191" i="101"/>
  <c r="A190" i="101"/>
  <c r="A189" i="101"/>
  <c r="A188" i="101"/>
  <c r="A187" i="101"/>
  <c r="A186" i="101"/>
  <c r="A185" i="101"/>
  <c r="A184" i="101"/>
  <c r="A183" i="101"/>
  <c r="A182" i="101"/>
  <c r="A181" i="101"/>
  <c r="A180" i="101"/>
  <c r="A179" i="101"/>
  <c r="A178" i="101"/>
  <c r="A177" i="101"/>
  <c r="A176" i="101"/>
  <c r="A175" i="101"/>
  <c r="A174" i="101"/>
  <c r="A173" i="101"/>
  <c r="A172" i="101"/>
  <c r="A171" i="101"/>
  <c r="A170" i="101"/>
  <c r="A169" i="101"/>
  <c r="A168" i="101"/>
  <c r="A167" i="101"/>
  <c r="A166" i="101"/>
  <c r="A165" i="101"/>
  <c r="A161" i="101"/>
  <c r="A160" i="101"/>
  <c r="A159" i="101"/>
  <c r="A158" i="101"/>
  <c r="A157" i="101"/>
  <c r="A156" i="101"/>
  <c r="F155" i="101"/>
  <c r="A155" i="101"/>
  <c r="A154" i="101"/>
  <c r="A153" i="101"/>
  <c r="A152" i="101"/>
  <c r="A151" i="101"/>
  <c r="I132" i="101"/>
  <c r="A130" i="101"/>
  <c r="A129" i="101"/>
  <c r="A128" i="101"/>
  <c r="A125" i="101"/>
  <c r="A124" i="101"/>
  <c r="A123" i="101"/>
  <c r="A122" i="101"/>
  <c r="A121" i="101"/>
  <c r="A120" i="101"/>
  <c r="A119" i="101"/>
  <c r="A118" i="101"/>
  <c r="A117" i="101"/>
  <c r="A116" i="101"/>
  <c r="A115" i="101"/>
  <c r="A114" i="101"/>
  <c r="A113" i="101"/>
  <c r="A112" i="101"/>
  <c r="A111" i="101"/>
  <c r="A110" i="101"/>
  <c r="A109" i="101"/>
  <c r="A108" i="101"/>
  <c r="A107" i="101"/>
  <c r="A106" i="101"/>
  <c r="A105" i="101"/>
  <c r="A104" i="101"/>
  <c r="A103" i="101"/>
  <c r="A102" i="101"/>
  <c r="A101" i="101"/>
  <c r="A100" i="101"/>
  <c r="A99" i="101"/>
  <c r="A98" i="101"/>
  <c r="A97" i="101"/>
  <c r="A96" i="101"/>
  <c r="A95" i="101"/>
  <c r="A91" i="101"/>
  <c r="A90" i="101"/>
  <c r="A89" i="101"/>
  <c r="A88" i="101"/>
  <c r="A87" i="101"/>
  <c r="A86" i="101"/>
  <c r="F85" i="101"/>
  <c r="A85" i="101"/>
  <c r="A84" i="101"/>
  <c r="A83" i="101"/>
  <c r="A82" i="101"/>
  <c r="A81" i="101"/>
  <c r="I63" i="101"/>
  <c r="A61" i="101"/>
  <c r="A60" i="101"/>
  <c r="A59" i="101"/>
  <c r="A56" i="101"/>
  <c r="A55" i="101"/>
  <c r="A54" i="101"/>
  <c r="A53" i="101"/>
  <c r="A52" i="101"/>
  <c r="A51" i="101"/>
  <c r="A50" i="101"/>
  <c r="A49" i="101"/>
  <c r="A48" i="101"/>
  <c r="A47" i="101"/>
  <c r="A46" i="101"/>
  <c r="A45" i="101"/>
  <c r="A44" i="101"/>
  <c r="A43" i="101"/>
  <c r="A42" i="101"/>
  <c r="A41" i="101"/>
  <c r="A40" i="101"/>
  <c r="A39" i="101"/>
  <c r="A38" i="101"/>
  <c r="A37" i="101"/>
  <c r="A36" i="101"/>
  <c r="A35" i="101"/>
  <c r="A34" i="101"/>
  <c r="A33" i="101"/>
  <c r="A32" i="101"/>
  <c r="A31" i="101"/>
  <c r="A30" i="101"/>
  <c r="A29" i="101"/>
  <c r="A28" i="101"/>
  <c r="A27" i="101"/>
  <c r="A26" i="101"/>
  <c r="A22" i="101"/>
  <c r="A21" i="101"/>
  <c r="A20" i="101"/>
  <c r="A19" i="101"/>
  <c r="A18" i="101"/>
  <c r="A17" i="101"/>
  <c r="F16" i="101"/>
  <c r="A16" i="101"/>
  <c r="A15" i="101"/>
  <c r="A14" i="101"/>
  <c r="A13" i="101"/>
  <c r="A12" i="101"/>
  <c r="E86" i="102" l="1"/>
  <c r="F86" i="102"/>
  <c r="G86" i="102"/>
  <c r="H86" i="102"/>
  <c r="I86" i="102"/>
  <c r="J86" i="102"/>
  <c r="K86" i="102"/>
  <c r="L86" i="102"/>
  <c r="M86" i="102"/>
  <c r="N86" i="102"/>
  <c r="D90" i="102"/>
  <c r="E95" i="102"/>
  <c r="F95" i="102"/>
  <c r="G95" i="102"/>
  <c r="H95" i="102"/>
  <c r="I95" i="102"/>
  <c r="J95" i="102"/>
  <c r="K95" i="102"/>
  <c r="L95" i="102"/>
  <c r="M95" i="102"/>
  <c r="N95" i="102"/>
  <c r="E96" i="102"/>
  <c r="F96" i="102"/>
  <c r="G96" i="102"/>
  <c r="H96" i="102"/>
  <c r="I96" i="102"/>
  <c r="J96" i="102"/>
  <c r="K96" i="102"/>
  <c r="L96" i="102"/>
  <c r="M96" i="102"/>
  <c r="N96" i="102"/>
  <c r="O96" i="102"/>
  <c r="A9" i="102"/>
  <c r="E66" i="102"/>
  <c r="F66" i="102"/>
  <c r="G66" i="102"/>
  <c r="H66" i="102"/>
  <c r="I66" i="102"/>
  <c r="J66" i="102"/>
  <c r="K66" i="102"/>
  <c r="L66" i="102"/>
  <c r="M66" i="102"/>
  <c r="N66" i="102"/>
  <c r="D70" i="102"/>
  <c r="E75" i="102"/>
  <c r="F75" i="102"/>
  <c r="G75" i="102"/>
  <c r="H75" i="102"/>
  <c r="I75" i="102"/>
  <c r="J75" i="102"/>
  <c r="K75" i="102"/>
  <c r="L75" i="102"/>
  <c r="M75" i="102"/>
  <c r="N75" i="102"/>
  <c r="E76" i="102"/>
  <c r="F76" i="102"/>
  <c r="G76" i="102"/>
  <c r="H76" i="102"/>
  <c r="I76" i="102"/>
  <c r="J76" i="102"/>
  <c r="K76" i="102"/>
  <c r="L76" i="102"/>
  <c r="M76" i="102"/>
  <c r="N76" i="102"/>
  <c r="O76" i="102"/>
  <c r="E47" i="102"/>
  <c r="F47" i="102"/>
  <c r="G47" i="102"/>
  <c r="H47" i="102"/>
  <c r="I47" i="102"/>
  <c r="J47" i="102"/>
  <c r="K47" i="102"/>
  <c r="L47" i="102"/>
  <c r="M47" i="102"/>
  <c r="N47" i="102"/>
  <c r="D51" i="102"/>
  <c r="E56" i="102"/>
  <c r="F56" i="102"/>
  <c r="G56" i="102"/>
  <c r="H56" i="102"/>
  <c r="I56" i="102"/>
  <c r="J56" i="102"/>
  <c r="K56" i="102"/>
  <c r="L56" i="102"/>
  <c r="M56" i="102"/>
  <c r="N56" i="102"/>
  <c r="E57" i="102"/>
  <c r="F57" i="102"/>
  <c r="G57" i="102"/>
  <c r="H57" i="102"/>
  <c r="I57" i="102"/>
  <c r="J57" i="102"/>
  <c r="K57" i="102"/>
  <c r="L57" i="102"/>
  <c r="M57" i="102"/>
  <c r="N57" i="102"/>
  <c r="O57" i="102"/>
  <c r="E28" i="102"/>
  <c r="F28" i="102"/>
  <c r="G28" i="102"/>
  <c r="H28" i="102"/>
  <c r="I28" i="102"/>
  <c r="J28" i="102"/>
  <c r="K28" i="102"/>
  <c r="L28" i="102"/>
  <c r="M28" i="102"/>
  <c r="N28" i="102"/>
  <c r="D32" i="102"/>
  <c r="E37" i="102"/>
  <c r="F37" i="102"/>
  <c r="G37" i="102"/>
  <c r="H37" i="102"/>
  <c r="I37" i="102"/>
  <c r="J37" i="102"/>
  <c r="K37" i="102"/>
  <c r="L37" i="102"/>
  <c r="M37" i="102"/>
  <c r="N37" i="102"/>
  <c r="E38" i="102"/>
  <c r="F38" i="102"/>
  <c r="G38" i="102"/>
  <c r="H38" i="102"/>
  <c r="I38" i="102"/>
  <c r="J38" i="102"/>
  <c r="K38" i="102"/>
  <c r="L38" i="102"/>
  <c r="M38" i="102"/>
  <c r="N38" i="102"/>
  <c r="O38" i="102"/>
  <c r="N2" i="102"/>
  <c r="M2" i="102"/>
  <c r="L2" i="102"/>
  <c r="K2" i="102"/>
  <c r="J2" i="102"/>
  <c r="I2" i="102"/>
  <c r="H2" i="102"/>
  <c r="G2" i="102"/>
  <c r="F2" i="102"/>
  <c r="E2" i="102"/>
  <c r="O19" i="102"/>
  <c r="N19" i="102"/>
  <c r="M19" i="102"/>
  <c r="L19" i="102"/>
  <c r="K19" i="102"/>
  <c r="J19" i="102"/>
  <c r="I19" i="102"/>
  <c r="H19" i="102"/>
  <c r="G19" i="102"/>
  <c r="F19" i="102"/>
  <c r="E19" i="102"/>
  <c r="N18" i="102"/>
  <c r="M18" i="102"/>
  <c r="L18" i="102"/>
  <c r="K18" i="102"/>
  <c r="J18" i="102"/>
  <c r="I18" i="102"/>
  <c r="H18" i="102"/>
  <c r="G18" i="102"/>
  <c r="F18" i="102"/>
  <c r="E18" i="102"/>
  <c r="D13" i="102"/>
  <c r="N8" i="102"/>
  <c r="M8" i="102"/>
  <c r="L8" i="102"/>
  <c r="K8" i="102"/>
  <c r="J8" i="102"/>
  <c r="I8" i="102"/>
  <c r="H8" i="102"/>
  <c r="G8" i="102"/>
  <c r="F8" i="102"/>
  <c r="E8" i="102"/>
  <c r="A291" i="101" l="1"/>
  <c r="A292" i="101"/>
  <c r="A293" i="101"/>
  <c r="A294" i="101"/>
  <c r="A295" i="101"/>
  <c r="F295" i="101"/>
  <c r="A296" i="101"/>
  <c r="A297" i="101"/>
  <c r="A298" i="101"/>
  <c r="A299" i="101"/>
  <c r="A300" i="101"/>
  <c r="E300" i="101"/>
  <c r="E310" i="101" s="1"/>
  <c r="E311" i="101" s="1"/>
  <c r="A301" i="101"/>
  <c r="E303" i="101"/>
  <c r="E331" i="101" s="1"/>
  <c r="A305" i="101"/>
  <c r="A306" i="101"/>
  <c r="A307" i="101"/>
  <c r="A308" i="101"/>
  <c r="A309" i="101"/>
  <c r="A310" i="101"/>
  <c r="A311" i="101"/>
  <c r="A312" i="101"/>
  <c r="A313" i="101"/>
  <c r="A314" i="101"/>
  <c r="A315" i="101"/>
  <c r="A316" i="101"/>
  <c r="A317" i="101"/>
  <c r="A318" i="101"/>
  <c r="A319" i="101"/>
  <c r="A320" i="101"/>
  <c r="A321" i="101"/>
  <c r="A322" i="101"/>
  <c r="F322" i="101"/>
  <c r="G322" i="101" s="1"/>
  <c r="A323" i="101"/>
  <c r="A324" i="101"/>
  <c r="A325" i="101"/>
  <c r="E325" i="101"/>
  <c r="E326" i="101" s="1"/>
  <c r="E328" i="101" s="1"/>
  <c r="F325" i="101"/>
  <c r="A326" i="101"/>
  <c r="A327" i="101"/>
  <c r="A328" i="101"/>
  <c r="A329" i="101"/>
  <c r="A330" i="101"/>
  <c r="A331" i="101"/>
  <c r="A332" i="101"/>
  <c r="A333" i="101"/>
  <c r="A334" i="101"/>
  <c r="A335" i="101"/>
  <c r="A338" i="101"/>
  <c r="A339" i="101"/>
  <c r="E339" i="101"/>
  <c r="E341" i="101" s="1"/>
  <c r="A340" i="101"/>
  <c r="A344" i="101"/>
  <c r="A345" i="101"/>
  <c r="F345" i="101"/>
  <c r="G345" i="101" s="1"/>
  <c r="H345" i="101" s="1"/>
  <c r="A346" i="101"/>
  <c r="A347" i="101"/>
  <c r="A348" i="101"/>
  <c r="F348" i="101"/>
  <c r="G348" i="101"/>
  <c r="H348" i="101"/>
  <c r="A349" i="101"/>
  <c r="E349" i="101"/>
  <c r="A350" i="101"/>
  <c r="A351" i="101"/>
  <c r="E230" i="101"/>
  <c r="E240" i="101" s="1"/>
  <c r="E241" i="101" s="1"/>
  <c r="E233" i="101"/>
  <c r="F252" i="101"/>
  <c r="G252" i="101" s="1"/>
  <c r="E255" i="101"/>
  <c r="E256" i="101" s="1"/>
  <c r="E258" i="101" s="1"/>
  <c r="F255" i="101"/>
  <c r="A274" i="101"/>
  <c r="A275" i="101"/>
  <c r="F275" i="101"/>
  <c r="G275" i="101" s="1"/>
  <c r="A276" i="101"/>
  <c r="A277" i="101"/>
  <c r="A278" i="101"/>
  <c r="F278" i="101"/>
  <c r="G278" i="101"/>
  <c r="H278" i="101"/>
  <c r="A279" i="101"/>
  <c r="E279" i="101"/>
  <c r="A280" i="101"/>
  <c r="A281" i="101"/>
  <c r="E156" i="101"/>
  <c r="E159" i="101" s="1"/>
  <c r="E158" i="101"/>
  <c r="E160" i="101"/>
  <c r="E170" i="101" s="1"/>
  <c r="E171" i="101" s="1"/>
  <c r="E162" i="101"/>
  <c r="E163" i="101"/>
  <c r="F182" i="101"/>
  <c r="G182" i="101" s="1"/>
  <c r="E185" i="101"/>
  <c r="E186" i="101" s="1"/>
  <c r="F185" i="101"/>
  <c r="A204" i="101"/>
  <c r="A205" i="101"/>
  <c r="F205" i="101"/>
  <c r="G205" i="101" s="1"/>
  <c r="H205" i="101" s="1"/>
  <c r="A206" i="101"/>
  <c r="A207" i="101"/>
  <c r="A208" i="101"/>
  <c r="F208" i="101"/>
  <c r="G208" i="101"/>
  <c r="H208" i="101"/>
  <c r="A209" i="101"/>
  <c r="E209" i="101"/>
  <c r="A210" i="101"/>
  <c r="A211" i="101"/>
  <c r="E86" i="101"/>
  <c r="E89" i="101" s="1"/>
  <c r="E88" i="101"/>
  <c r="E90" i="101"/>
  <c r="E100" i="101" s="1"/>
  <c r="E101" i="101" s="1"/>
  <c r="E92" i="101"/>
  <c r="E93" i="101"/>
  <c r="F112" i="101"/>
  <c r="G112" i="101" s="1"/>
  <c r="E115" i="101"/>
  <c r="E116" i="101" s="1"/>
  <c r="F115" i="101"/>
  <c r="A134" i="101"/>
  <c r="A135" i="101"/>
  <c r="F135" i="101"/>
  <c r="G135" i="101" s="1"/>
  <c r="A136" i="101"/>
  <c r="A137" i="101"/>
  <c r="A138" i="101"/>
  <c r="F138" i="101"/>
  <c r="G138" i="101"/>
  <c r="H138" i="101"/>
  <c r="A139" i="101"/>
  <c r="E139" i="101"/>
  <c r="A140" i="101"/>
  <c r="A141" i="101"/>
  <c r="A72" i="101"/>
  <c r="A71" i="101"/>
  <c r="E70" i="101"/>
  <c r="A70" i="101"/>
  <c r="H69" i="101"/>
  <c r="G69" i="101"/>
  <c r="F69" i="101"/>
  <c r="A69" i="101"/>
  <c r="A68" i="101"/>
  <c r="A67" i="101"/>
  <c r="F66" i="101"/>
  <c r="G66" i="101" s="1"/>
  <c r="A66" i="101"/>
  <c r="A65" i="101"/>
  <c r="F46" i="101"/>
  <c r="E46" i="101"/>
  <c r="E47" i="101" s="1"/>
  <c r="F43" i="101"/>
  <c r="E24" i="101"/>
  <c r="E60" i="101" s="1"/>
  <c r="E62" i="101" s="1"/>
  <c r="E23" i="101"/>
  <c r="E21" i="101"/>
  <c r="E31" i="101" s="1"/>
  <c r="E19" i="101"/>
  <c r="E17" i="101"/>
  <c r="E20" i="101" s="1"/>
  <c r="E199" i="101" l="1"/>
  <c r="E201" i="101" s="1"/>
  <c r="E129" i="101"/>
  <c r="E131" i="101" s="1"/>
  <c r="E261" i="101"/>
  <c r="E262" i="101" s="1"/>
  <c r="E269" i="101"/>
  <c r="E271" i="101" s="1"/>
  <c r="F256" i="101"/>
  <c r="F258" i="101" s="1"/>
  <c r="F326" i="101"/>
  <c r="F328" i="101" s="1"/>
  <c r="E118" i="101"/>
  <c r="G325" i="101"/>
  <c r="G326" i="101" s="1"/>
  <c r="E191" i="101"/>
  <c r="E192" i="101" s="1"/>
  <c r="F349" i="101"/>
  <c r="H349" i="101"/>
  <c r="G349" i="101"/>
  <c r="E317" i="101"/>
  <c r="G279" i="101"/>
  <c r="H275" i="101"/>
  <c r="H279" i="101" s="1"/>
  <c r="H325" i="101"/>
  <c r="H322" i="101"/>
  <c r="F279" i="101"/>
  <c r="G209" i="101"/>
  <c r="E332" i="101"/>
  <c r="H255" i="101"/>
  <c r="H252" i="101"/>
  <c r="E247" i="101"/>
  <c r="G255" i="101"/>
  <c r="G256" i="101" s="1"/>
  <c r="F186" i="101"/>
  <c r="F188" i="101" s="1"/>
  <c r="F209" i="101"/>
  <c r="H209" i="101"/>
  <c r="E188" i="101"/>
  <c r="H185" i="101"/>
  <c r="H182" i="101"/>
  <c r="G139" i="101"/>
  <c r="H135" i="101"/>
  <c r="H139" i="101" s="1"/>
  <c r="E177" i="101"/>
  <c r="G185" i="101"/>
  <c r="E121" i="101"/>
  <c r="E122" i="101" s="1"/>
  <c r="F139" i="101"/>
  <c r="F116" i="101"/>
  <c r="F118" i="101" s="1"/>
  <c r="F47" i="101"/>
  <c r="F49" i="101" s="1"/>
  <c r="E107" i="101"/>
  <c r="H115" i="101"/>
  <c r="H112" i="101"/>
  <c r="G115" i="101"/>
  <c r="G116" i="101" s="1"/>
  <c r="G43" i="101"/>
  <c r="H43" i="101" s="1"/>
  <c r="F70" i="101"/>
  <c r="E52" i="101"/>
  <c r="E53" i="101" s="1"/>
  <c r="H66" i="101"/>
  <c r="H70" i="101" s="1"/>
  <c r="G70" i="101"/>
  <c r="E49" i="101"/>
  <c r="E32" i="101"/>
  <c r="E38" i="101" s="1"/>
  <c r="G46" i="101"/>
  <c r="I26" i="11"/>
  <c r="H186" i="101" l="1"/>
  <c r="H188" i="101" s="1"/>
  <c r="H256" i="101"/>
  <c r="H258" i="101" s="1"/>
  <c r="H326" i="101"/>
  <c r="H328" i="101" s="1"/>
  <c r="G328" i="101"/>
  <c r="G258" i="101"/>
  <c r="G186" i="101"/>
  <c r="G188" i="101" s="1"/>
  <c r="H116" i="101"/>
  <c r="H118" i="101" s="1"/>
  <c r="H46" i="101"/>
  <c r="H47" i="101" s="1"/>
  <c r="G118" i="101"/>
  <c r="G47" i="101"/>
  <c r="G49" i="101" l="1"/>
  <c r="H49" i="101"/>
  <c r="C146" i="58"/>
  <c r="C147" i="58"/>
  <c r="C148" i="58"/>
  <c r="C149" i="58"/>
  <c r="C150" i="58"/>
  <c r="C151" i="58"/>
  <c r="C152" i="58"/>
  <c r="C153" i="58"/>
  <c r="C154" i="58"/>
  <c r="C155" i="58"/>
  <c r="C157" i="58"/>
  <c r="C158" i="58"/>
  <c r="C159" i="58"/>
  <c r="C160" i="58"/>
  <c r="C161" i="58"/>
  <c r="C162" i="58"/>
  <c r="C163" i="58"/>
  <c r="C164" i="58"/>
  <c r="C165" i="58"/>
  <c r="C166" i="58"/>
  <c r="C170" i="58"/>
  <c r="C171" i="58"/>
  <c r="C172" i="58"/>
  <c r="C173" i="58"/>
  <c r="C174" i="58"/>
  <c r="C175" i="58"/>
  <c r="C176" i="58"/>
  <c r="C177" i="58"/>
  <c r="C178" i="58"/>
  <c r="C179" i="58"/>
  <c r="C180" i="58"/>
  <c r="C181" i="58"/>
  <c r="C182" i="58"/>
  <c r="C183" i="58"/>
  <c r="C184" i="58"/>
  <c r="C185" i="58"/>
  <c r="C186" i="58"/>
  <c r="C187" i="58"/>
  <c r="C188" i="58"/>
  <c r="C189" i="58"/>
  <c r="E118" i="58"/>
  <c r="F118" i="58"/>
  <c r="G118" i="58"/>
  <c r="H118" i="58"/>
  <c r="I118" i="58"/>
  <c r="J118" i="58"/>
  <c r="K118" i="58"/>
  <c r="L118" i="58"/>
  <c r="M118" i="58"/>
  <c r="N118" i="58"/>
  <c r="E119" i="58"/>
  <c r="F119" i="58"/>
  <c r="G119" i="58"/>
  <c r="H119" i="58"/>
  <c r="I119" i="58"/>
  <c r="J119" i="58"/>
  <c r="K119" i="58"/>
  <c r="L119" i="58"/>
  <c r="M119" i="58"/>
  <c r="N119" i="58"/>
  <c r="E120" i="58"/>
  <c r="F120" i="58"/>
  <c r="G120" i="58"/>
  <c r="H120" i="58"/>
  <c r="I120" i="58"/>
  <c r="J120" i="58"/>
  <c r="K120" i="58"/>
  <c r="L120" i="58"/>
  <c r="M120" i="58"/>
  <c r="N120" i="58"/>
  <c r="E121" i="58"/>
  <c r="F121" i="58"/>
  <c r="G121" i="58"/>
  <c r="H121" i="58"/>
  <c r="I121" i="58"/>
  <c r="J121" i="58"/>
  <c r="K121" i="58"/>
  <c r="L121" i="58"/>
  <c r="M121" i="58"/>
  <c r="N121" i="58"/>
  <c r="E122" i="58"/>
  <c r="F122" i="58"/>
  <c r="G122" i="58"/>
  <c r="H122" i="58"/>
  <c r="I122" i="58"/>
  <c r="J122" i="58"/>
  <c r="K122" i="58"/>
  <c r="L122" i="58"/>
  <c r="M122" i="58"/>
  <c r="N122" i="58"/>
  <c r="E123" i="58"/>
  <c r="F123" i="58"/>
  <c r="G123" i="58"/>
  <c r="H123" i="58"/>
  <c r="I123" i="58"/>
  <c r="J123" i="58"/>
  <c r="K123" i="58"/>
  <c r="L123" i="58"/>
  <c r="M123" i="58"/>
  <c r="N123" i="58"/>
  <c r="E124" i="58"/>
  <c r="F124" i="58"/>
  <c r="G124" i="58"/>
  <c r="H124" i="58"/>
  <c r="I124" i="58"/>
  <c r="J124" i="58"/>
  <c r="K124" i="58"/>
  <c r="L124" i="58"/>
  <c r="M124" i="58"/>
  <c r="N124" i="58"/>
  <c r="E125" i="58"/>
  <c r="F125" i="58"/>
  <c r="G125" i="58"/>
  <c r="H125" i="58"/>
  <c r="I125" i="58"/>
  <c r="J125" i="58"/>
  <c r="K125" i="58"/>
  <c r="L125" i="58"/>
  <c r="M125" i="58"/>
  <c r="N125" i="58"/>
  <c r="K54" i="36"/>
  <c r="D73" i="33" l="1"/>
  <c r="D66" i="33"/>
  <c r="D65" i="33"/>
  <c r="D27" i="39" l="1"/>
  <c r="L70" i="39"/>
  <c r="H70" i="39"/>
  <c r="D70" i="39"/>
  <c r="D33" i="39"/>
  <c r="L94" i="37"/>
  <c r="H94" i="37"/>
  <c r="D94" i="37"/>
  <c r="F53" i="37"/>
  <c r="F50" i="37"/>
  <c r="F47" i="37"/>
  <c r="F39" i="37"/>
  <c r="F36" i="37"/>
  <c r="F33" i="37"/>
  <c r="Q73" i="36"/>
  <c r="Q68" i="36"/>
  <c r="H78" i="36"/>
  <c r="H73" i="36"/>
  <c r="H68" i="36"/>
  <c r="Q61" i="36"/>
  <c r="E28" i="36"/>
  <c r="E25" i="36"/>
  <c r="E19" i="36"/>
  <c r="X36" i="80" l="1"/>
  <c r="U36" i="80"/>
  <c r="E65" i="72" l="1"/>
  <c r="E52" i="72"/>
  <c r="E38" i="72"/>
  <c r="E26" i="72"/>
  <c r="E13" i="72"/>
  <c r="D7" i="97"/>
  <c r="N37" i="58" l="1"/>
  <c r="M37" i="58"/>
  <c r="L37" i="58"/>
  <c r="K37" i="58"/>
  <c r="J37" i="58"/>
  <c r="I37" i="58"/>
  <c r="H37" i="58"/>
  <c r="G37" i="58"/>
  <c r="F37" i="58"/>
  <c r="C41" i="84" l="1"/>
  <c r="C40" i="84"/>
  <c r="E4" i="81" l="1"/>
  <c r="R86" i="83" l="1"/>
  <c r="D84" i="83"/>
  <c r="D83" i="83"/>
  <c r="D82" i="83"/>
  <c r="D81" i="83"/>
  <c r="P79" i="83"/>
  <c r="O79" i="83"/>
  <c r="D73" i="83"/>
  <c r="D72" i="83"/>
  <c r="D71" i="83"/>
  <c r="D70" i="83"/>
  <c r="P68" i="83"/>
  <c r="O68" i="83"/>
  <c r="AH163" i="80" l="1"/>
  <c r="D102" i="33" l="1"/>
  <c r="D98" i="33"/>
  <c r="D94" i="33"/>
  <c r="D90" i="33"/>
  <c r="N83" i="55"/>
  <c r="M83" i="55"/>
  <c r="L83" i="55"/>
  <c r="K83" i="55"/>
  <c r="J83" i="55"/>
  <c r="I83" i="55"/>
  <c r="H83" i="55"/>
  <c r="G83" i="55"/>
  <c r="F83" i="55"/>
  <c r="E83" i="55"/>
  <c r="N83" i="54"/>
  <c r="M83" i="54"/>
  <c r="L83" i="54"/>
  <c r="K83" i="54"/>
  <c r="J83" i="54"/>
  <c r="I83" i="54"/>
  <c r="H83" i="54"/>
  <c r="G83" i="54"/>
  <c r="F83" i="54"/>
  <c r="E83" i="54"/>
  <c r="N84" i="58"/>
  <c r="N127" i="58" s="1"/>
  <c r="M84" i="58"/>
  <c r="M127" i="58" s="1"/>
  <c r="L84" i="58"/>
  <c r="L127" i="58" s="1"/>
  <c r="K84" i="58"/>
  <c r="K127" i="58" s="1"/>
  <c r="J84" i="58"/>
  <c r="J127" i="58" s="1"/>
  <c r="I84" i="58"/>
  <c r="I127" i="58" s="1"/>
  <c r="H84" i="58"/>
  <c r="H127" i="58" s="1"/>
  <c r="G84" i="58"/>
  <c r="G127" i="58" s="1"/>
  <c r="F84" i="58"/>
  <c r="F127" i="58" s="1"/>
  <c r="E84" i="58"/>
  <c r="E127" i="58" s="1"/>
  <c r="N2" i="97"/>
  <c r="M2" i="97"/>
  <c r="L2" i="97"/>
  <c r="K2" i="97"/>
  <c r="J2" i="97"/>
  <c r="I2" i="97"/>
  <c r="H2" i="97"/>
  <c r="G2" i="97"/>
  <c r="F2" i="97"/>
  <c r="E2" i="97"/>
  <c r="P114" i="37" l="1"/>
  <c r="G83" i="4"/>
  <c r="E40" i="57" l="1"/>
  <c r="D89" i="40" s="1"/>
  <c r="E39" i="57"/>
  <c r="D83" i="40" s="1"/>
  <c r="E38" i="57"/>
  <c r="D70" i="40" s="1"/>
  <c r="E37" i="57"/>
  <c r="D64" i="40" s="1"/>
  <c r="E36" i="57"/>
  <c r="D52" i="40" s="1"/>
  <c r="E35" i="57"/>
  <c r="D45" i="40" s="1"/>
  <c r="E78" i="59" l="1"/>
  <c r="E74" i="59"/>
  <c r="E73" i="59"/>
  <c r="E77" i="59"/>
  <c r="E70" i="59"/>
  <c r="E66" i="59"/>
  <c r="E62" i="59"/>
  <c r="E58" i="59"/>
  <c r="E54" i="59"/>
  <c r="E50" i="59"/>
  <c r="E46" i="59"/>
  <c r="K35" i="25" l="1"/>
  <c r="K33" i="25" l="1"/>
  <c r="K37" i="25"/>
  <c r="C31" i="95" l="1"/>
  <c r="C32" i="95" s="1"/>
  <c r="C33" i="95" s="1"/>
  <c r="C34" i="95" s="1"/>
  <c r="D79" i="95"/>
  <c r="C35" i="95" l="1"/>
  <c r="C36" i="95" l="1"/>
  <c r="N275" i="8"/>
  <c r="M275" i="8"/>
  <c r="L275" i="8"/>
  <c r="K275" i="8"/>
  <c r="J275" i="8"/>
  <c r="I275" i="8"/>
  <c r="H275" i="8"/>
  <c r="G275" i="8"/>
  <c r="F275" i="8"/>
  <c r="E275" i="8"/>
  <c r="B275" i="8"/>
  <c r="A275" i="8"/>
  <c r="G123" i="4"/>
  <c r="C37" i="95" l="1"/>
  <c r="L120" i="8"/>
  <c r="K120" i="8"/>
  <c r="J120" i="8"/>
  <c r="I120" i="8"/>
  <c r="H120" i="8"/>
  <c r="G120" i="8"/>
  <c r="F120" i="8"/>
  <c r="L119" i="8"/>
  <c r="K119" i="8"/>
  <c r="J119" i="8"/>
  <c r="I119" i="8"/>
  <c r="H119" i="8"/>
  <c r="G119" i="8"/>
  <c r="F119" i="8"/>
  <c r="E120" i="8"/>
  <c r="E119" i="8"/>
  <c r="L79" i="8"/>
  <c r="K79" i="8"/>
  <c r="J79" i="8"/>
  <c r="I79" i="8"/>
  <c r="H79" i="8"/>
  <c r="G79" i="8"/>
  <c r="F79" i="8"/>
  <c r="L78" i="8"/>
  <c r="K78" i="8"/>
  <c r="J78" i="8"/>
  <c r="I78" i="8"/>
  <c r="H78" i="8"/>
  <c r="G78" i="8"/>
  <c r="F78" i="8"/>
  <c r="L77" i="8"/>
  <c r="K77" i="8"/>
  <c r="J77" i="8"/>
  <c r="I77" i="8"/>
  <c r="H77" i="8"/>
  <c r="G77" i="8"/>
  <c r="F77" i="8"/>
  <c r="E79" i="8"/>
  <c r="E78" i="8"/>
  <c r="E77" i="8"/>
  <c r="C38" i="95" l="1"/>
  <c r="C39" i="95" l="1"/>
  <c r="C80" i="33"/>
  <c r="C79" i="33"/>
  <c r="C40" i="95" l="1"/>
  <c r="Q159" i="7"/>
  <c r="Q158" i="7"/>
  <c r="P162" i="7"/>
  <c r="P163" i="7" s="1"/>
  <c r="P158" i="7"/>
  <c r="P159" i="7" s="1"/>
  <c r="P150" i="7"/>
  <c r="P151" i="7" s="1"/>
  <c r="Q155" i="7" s="1"/>
  <c r="P146" i="7"/>
  <c r="P147" i="7" s="1"/>
  <c r="C41" i="95" l="1"/>
  <c r="Q154" i="7"/>
  <c r="P154" i="7" s="1"/>
  <c r="P155" i="7" s="1"/>
  <c r="K32" i="25"/>
  <c r="C42" i="95" l="1"/>
  <c r="K36" i="25"/>
  <c r="K34" i="25"/>
  <c r="K31" i="25"/>
  <c r="K30" i="25"/>
  <c r="C43" i="95" l="1"/>
  <c r="C44" i="95" l="1"/>
  <c r="D27" i="83"/>
  <c r="N44" i="55"/>
  <c r="M44" i="55"/>
  <c r="L44" i="55"/>
  <c r="K44" i="55"/>
  <c r="J44" i="55"/>
  <c r="I44" i="55"/>
  <c r="H44" i="55"/>
  <c r="G44" i="55"/>
  <c r="F44" i="55"/>
  <c r="E44" i="55"/>
  <c r="D21" i="83"/>
  <c r="D1" i="89"/>
  <c r="C46" i="89" l="1"/>
  <c r="C45" i="89"/>
  <c r="C43" i="89"/>
  <c r="C42" i="89"/>
  <c r="C39" i="89"/>
  <c r="C38" i="89"/>
  <c r="C36" i="89"/>
  <c r="C47" i="89"/>
  <c r="C44" i="89"/>
  <c r="C41" i="89"/>
  <c r="C40" i="89"/>
  <c r="C37" i="89"/>
  <c r="E37" i="89" s="1"/>
  <c r="C45" i="95"/>
  <c r="G122" i="4"/>
  <c r="G121" i="4"/>
  <c r="G120" i="4"/>
  <c r="G119" i="4"/>
  <c r="G118" i="4"/>
  <c r="G117" i="4"/>
  <c r="G116" i="4"/>
  <c r="G113" i="4"/>
  <c r="G112" i="4"/>
  <c r="G111" i="4"/>
  <c r="G109" i="4"/>
  <c r="G108" i="4"/>
  <c r="G107" i="4"/>
  <c r="G104" i="4"/>
  <c r="G103" i="4"/>
  <c r="G102" i="4"/>
  <c r="G99" i="4"/>
  <c r="G98" i="4"/>
  <c r="G95" i="4"/>
  <c r="G94" i="4"/>
  <c r="G91" i="4"/>
  <c r="G90" i="4"/>
  <c r="G86" i="4"/>
  <c r="G82" i="4"/>
  <c r="G81" i="4"/>
  <c r="G80" i="4"/>
  <c r="G78" i="4"/>
  <c r="G77" i="4"/>
  <c r="G76" i="4"/>
  <c r="G73" i="4"/>
  <c r="G72" i="4"/>
  <c r="G71" i="4"/>
  <c r="G68" i="4"/>
  <c r="G67" i="4"/>
  <c r="G66" i="4"/>
  <c r="G63" i="4"/>
  <c r="G62" i="4"/>
  <c r="G61" i="4"/>
  <c r="G58" i="4"/>
  <c r="G57" i="4"/>
  <c r="G56" i="4"/>
  <c r="G55" i="4"/>
  <c r="G54" i="4"/>
  <c r="G53" i="4"/>
  <c r="G49" i="4"/>
  <c r="G48" i="4"/>
  <c r="G45" i="4"/>
  <c r="G44" i="4"/>
  <c r="G41" i="4"/>
  <c r="G40" i="4"/>
  <c r="G37" i="4"/>
  <c r="G36" i="4"/>
  <c r="G35" i="4"/>
  <c r="G31" i="4"/>
  <c r="G28" i="4"/>
  <c r="G27" i="4"/>
  <c r="G25" i="4"/>
  <c r="G21" i="4"/>
  <c r="G17" i="4"/>
  <c r="G16" i="4"/>
  <c r="G15" i="4"/>
  <c r="G13" i="4"/>
  <c r="E47" i="89" l="1"/>
  <c r="E42" i="89"/>
  <c r="E46" i="89"/>
  <c r="E40" i="89"/>
  <c r="E39" i="89"/>
  <c r="E43" i="89"/>
  <c r="E41" i="89"/>
  <c r="E38" i="89"/>
  <c r="E45" i="89"/>
  <c r="E44" i="89"/>
  <c r="C46" i="95"/>
  <c r="C8" i="84"/>
  <c r="C7" i="84"/>
  <c r="C6" i="84"/>
  <c r="C14" i="84"/>
  <c r="C13" i="84"/>
  <c r="C21" i="84"/>
  <c r="C20" i="84"/>
  <c r="C19" i="84"/>
  <c r="C27" i="84"/>
  <c r="C26" i="84"/>
  <c r="C35" i="84"/>
  <c r="C34" i="84"/>
  <c r="C33" i="84"/>
  <c r="C50" i="84"/>
  <c r="C46" i="84"/>
  <c r="C45" i="84"/>
  <c r="C44" i="84"/>
  <c r="C43" i="84"/>
  <c r="C42" i="84"/>
  <c r="C65" i="84"/>
  <c r="C62" i="84"/>
  <c r="C61" i="84"/>
  <c r="C60" i="84"/>
  <c r="C59" i="84"/>
  <c r="C58" i="84"/>
  <c r="C57" i="84"/>
  <c r="C56" i="84"/>
  <c r="C55" i="84"/>
  <c r="C81" i="84"/>
  <c r="C78" i="84"/>
  <c r="C77" i="84"/>
  <c r="C76" i="84"/>
  <c r="C75" i="84"/>
  <c r="C74" i="84"/>
  <c r="C73" i="84"/>
  <c r="C72" i="84"/>
  <c r="C71" i="84"/>
  <c r="C95" i="84"/>
  <c r="C92" i="84"/>
  <c r="C91" i="84"/>
  <c r="C90" i="84"/>
  <c r="C89" i="84"/>
  <c r="C88" i="84"/>
  <c r="C87" i="84"/>
  <c r="C108" i="84"/>
  <c r="C105" i="84"/>
  <c r="C104" i="84"/>
  <c r="C103" i="84"/>
  <c r="C102" i="84"/>
  <c r="C101" i="84"/>
  <c r="C100" i="84"/>
  <c r="C118" i="84"/>
  <c r="C117" i="84"/>
  <c r="C116" i="84"/>
  <c r="C115" i="84"/>
  <c r="C114" i="84"/>
  <c r="C113" i="84"/>
  <c r="C128" i="84"/>
  <c r="C127" i="84"/>
  <c r="C126" i="84"/>
  <c r="C125" i="84"/>
  <c r="C124" i="84"/>
  <c r="C123" i="84"/>
  <c r="C138" i="84"/>
  <c r="C137" i="84"/>
  <c r="C136" i="84"/>
  <c r="C135" i="84"/>
  <c r="C134" i="84"/>
  <c r="C133" i="84"/>
  <c r="C151" i="84"/>
  <c r="C150" i="84"/>
  <c r="C149" i="84"/>
  <c r="C148" i="84"/>
  <c r="C147" i="84"/>
  <c r="C146" i="84"/>
  <c r="C145" i="84"/>
  <c r="C144" i="84"/>
  <c r="C143" i="84"/>
  <c r="C169" i="84"/>
  <c r="C168" i="84"/>
  <c r="C167" i="84"/>
  <c r="C178" i="84"/>
  <c r="C177" i="84"/>
  <c r="C176" i="84"/>
  <c r="C187" i="84"/>
  <c r="C188" i="84"/>
  <c r="C194" i="84"/>
  <c r="C195" i="84"/>
  <c r="C196" i="84"/>
  <c r="C47" i="95" l="1"/>
  <c r="A62" i="8"/>
  <c r="A61" i="8"/>
  <c r="B60" i="8"/>
  <c r="A59" i="8"/>
  <c r="A58" i="8"/>
  <c r="B57" i="8"/>
  <c r="A57" i="8"/>
  <c r="A55" i="8"/>
  <c r="B54" i="8"/>
  <c r="B53" i="8"/>
  <c r="A53" i="8"/>
  <c r="B52" i="8"/>
  <c r="A52" i="8"/>
  <c r="B51" i="8"/>
  <c r="A51" i="8"/>
  <c r="B50" i="8"/>
  <c r="A50" i="8"/>
  <c r="C48" i="95" l="1"/>
  <c r="D78" i="33"/>
  <c r="D70" i="33"/>
  <c r="D69" i="33"/>
  <c r="D62" i="33"/>
  <c r="D61" i="33"/>
  <c r="D60" i="33"/>
  <c r="D55" i="33"/>
  <c r="D54" i="33"/>
  <c r="D53" i="33"/>
  <c r="D49" i="33"/>
  <c r="D48" i="33"/>
  <c r="D28" i="33"/>
  <c r="D27" i="33"/>
  <c r="D26" i="33"/>
  <c r="D23" i="33"/>
  <c r="D22" i="33"/>
  <c r="D21" i="33"/>
  <c r="H167" i="21"/>
  <c r="G167" i="21"/>
  <c r="F167" i="21"/>
  <c r="E167" i="21"/>
  <c r="H120" i="21"/>
  <c r="G120" i="21"/>
  <c r="F120" i="21"/>
  <c r="E120" i="21"/>
  <c r="H88" i="21"/>
  <c r="G88" i="21"/>
  <c r="F88" i="21"/>
  <c r="E88" i="21"/>
  <c r="H43" i="21"/>
  <c r="G43" i="21"/>
  <c r="F43" i="21"/>
  <c r="E43" i="21"/>
  <c r="E14" i="21"/>
  <c r="E114" i="21" s="1"/>
  <c r="E13" i="21"/>
  <c r="E79" i="21" s="1"/>
  <c r="E12" i="21"/>
  <c r="E19" i="21" s="1"/>
  <c r="E64" i="21" s="1"/>
  <c r="H27" i="89"/>
  <c r="G27" i="89"/>
  <c r="F27" i="89"/>
  <c r="E27" i="89"/>
  <c r="J25" i="89"/>
  <c r="I25" i="89"/>
  <c r="H25" i="89"/>
  <c r="G25" i="89"/>
  <c r="F25" i="89"/>
  <c r="D25" i="89"/>
  <c r="C25" i="89"/>
  <c r="J24" i="89"/>
  <c r="I24" i="89"/>
  <c r="H24" i="89"/>
  <c r="G24" i="89"/>
  <c r="C24" i="89" s="1"/>
  <c r="F24" i="89"/>
  <c r="D24" i="89"/>
  <c r="J23" i="89"/>
  <c r="I23" i="89"/>
  <c r="H23" i="89"/>
  <c r="G23" i="89"/>
  <c r="C23" i="89" s="1"/>
  <c r="F23" i="89"/>
  <c r="D23" i="89"/>
  <c r="J22" i="89"/>
  <c r="I22" i="89"/>
  <c r="H22" i="89"/>
  <c r="G22" i="89"/>
  <c r="F22" i="89"/>
  <c r="D22" i="89"/>
  <c r="C22" i="89"/>
  <c r="J21" i="89"/>
  <c r="I21" i="89"/>
  <c r="H21" i="89"/>
  <c r="G21" i="89"/>
  <c r="F21" i="89"/>
  <c r="D21" i="89"/>
  <c r="C21" i="89"/>
  <c r="J20" i="89"/>
  <c r="I20" i="89"/>
  <c r="H20" i="89"/>
  <c r="G20" i="89"/>
  <c r="C20" i="89" s="1"/>
  <c r="F20" i="89"/>
  <c r="D20" i="89"/>
  <c r="J19" i="89"/>
  <c r="I19" i="89"/>
  <c r="H19" i="89"/>
  <c r="G19" i="89"/>
  <c r="C19" i="89" s="1"/>
  <c r="F19" i="89"/>
  <c r="D19" i="89"/>
  <c r="J18" i="89"/>
  <c r="I18" i="89"/>
  <c r="H18" i="89"/>
  <c r="G18" i="89"/>
  <c r="F18" i="89"/>
  <c r="D18" i="89"/>
  <c r="C18" i="89"/>
  <c r="J17" i="89"/>
  <c r="I17" i="89"/>
  <c r="H17" i="89"/>
  <c r="G17" i="89"/>
  <c r="F17" i="89"/>
  <c r="D17" i="89"/>
  <c r="C17" i="89"/>
  <c r="J16" i="89"/>
  <c r="I16" i="89"/>
  <c r="H16" i="89"/>
  <c r="G16" i="89"/>
  <c r="C16" i="89" s="1"/>
  <c r="F16" i="89"/>
  <c r="D16" i="89"/>
  <c r="J15" i="89"/>
  <c r="I15" i="89"/>
  <c r="H15" i="89"/>
  <c r="G15" i="89"/>
  <c r="C15" i="89" s="1"/>
  <c r="F15" i="89"/>
  <c r="D15" i="89"/>
  <c r="J14" i="89"/>
  <c r="I14" i="89"/>
  <c r="H14" i="89"/>
  <c r="G14" i="89"/>
  <c r="F14" i="89"/>
  <c r="C14" i="89"/>
  <c r="D67" i="15"/>
  <c r="D66" i="15"/>
  <c r="D65" i="15"/>
  <c r="D64" i="15"/>
  <c r="D63" i="15"/>
  <c r="D62" i="15"/>
  <c r="B158" i="84" s="1"/>
  <c r="D61" i="15"/>
  <c r="D60" i="15"/>
  <c r="B156" i="84" s="1"/>
  <c r="D58" i="15"/>
  <c r="D57" i="15"/>
  <c r="D56" i="15"/>
  <c r="D55" i="15"/>
  <c r="B176" i="59" s="1"/>
  <c r="D53" i="15"/>
  <c r="D52" i="15"/>
  <c r="B300" i="77" s="1"/>
  <c r="D51" i="15"/>
  <c r="D301" i="46" s="1"/>
  <c r="D49" i="15"/>
  <c r="B151" i="57" s="1"/>
  <c r="D48" i="15"/>
  <c r="C139" i="32" s="1"/>
  <c r="D47" i="15"/>
  <c r="B296" i="59" s="1"/>
  <c r="D46" i="15"/>
  <c r="D45" i="15"/>
  <c r="B236" i="59" s="1"/>
  <c r="D44" i="15"/>
  <c r="D42" i="15"/>
  <c r="D41" i="15"/>
  <c r="D40" i="15"/>
  <c r="D39" i="15"/>
  <c r="D37" i="15"/>
  <c r="D35" i="15"/>
  <c r="D34" i="15"/>
  <c r="D33" i="15"/>
  <c r="D28" i="15"/>
  <c r="B160" i="59" s="1"/>
  <c r="D26" i="15"/>
  <c r="D23" i="15"/>
  <c r="B159" i="59" s="1"/>
  <c r="D18" i="15"/>
  <c r="D16" i="15"/>
  <c r="D14" i="15"/>
  <c r="D13" i="15"/>
  <c r="E10" i="2" s="1"/>
  <c r="D12" i="15"/>
  <c r="E11" i="15"/>
  <c r="D11" i="15" s="1"/>
  <c r="B4" i="2" s="1"/>
  <c r="D10" i="15"/>
  <c r="N196" i="84"/>
  <c r="M196" i="84"/>
  <c r="L196" i="84"/>
  <c r="K196" i="84"/>
  <c r="J196" i="84"/>
  <c r="I196" i="84"/>
  <c r="H196" i="84"/>
  <c r="G196" i="84"/>
  <c r="F196" i="84"/>
  <c r="E196" i="84"/>
  <c r="N195" i="84"/>
  <c r="M195" i="84"/>
  <c r="L195" i="84"/>
  <c r="K195" i="84"/>
  <c r="J195" i="84"/>
  <c r="I195" i="84"/>
  <c r="H195" i="84"/>
  <c r="G195" i="84"/>
  <c r="F195" i="84"/>
  <c r="E195" i="84"/>
  <c r="N194" i="84"/>
  <c r="M194" i="84"/>
  <c r="L194" i="84"/>
  <c r="K194" i="84"/>
  <c r="J194" i="84"/>
  <c r="I194" i="84"/>
  <c r="H194" i="84"/>
  <c r="G194" i="84"/>
  <c r="F194" i="84"/>
  <c r="E194" i="84"/>
  <c r="N188" i="84"/>
  <c r="M188" i="84"/>
  <c r="L188" i="84"/>
  <c r="K188" i="84"/>
  <c r="J188" i="84"/>
  <c r="I188" i="84"/>
  <c r="H188" i="84"/>
  <c r="G188" i="84"/>
  <c r="F188" i="84"/>
  <c r="E188" i="84"/>
  <c r="N187" i="84"/>
  <c r="M187" i="84"/>
  <c r="L187" i="84"/>
  <c r="K187" i="84"/>
  <c r="J187" i="84"/>
  <c r="I187" i="84"/>
  <c r="H187" i="84"/>
  <c r="G187" i="84"/>
  <c r="F187" i="84"/>
  <c r="E187" i="84"/>
  <c r="N178" i="84"/>
  <c r="M178" i="84"/>
  <c r="L178" i="84"/>
  <c r="K178" i="84"/>
  <c r="J178" i="84"/>
  <c r="I178" i="84"/>
  <c r="H178" i="84"/>
  <c r="G178" i="84"/>
  <c r="F178" i="84"/>
  <c r="E178" i="84"/>
  <c r="N177" i="84"/>
  <c r="M177" i="84"/>
  <c r="L177" i="84"/>
  <c r="K177" i="84"/>
  <c r="J177" i="84"/>
  <c r="I177" i="84"/>
  <c r="H177" i="84"/>
  <c r="G177" i="84"/>
  <c r="F177" i="84"/>
  <c r="E177" i="84"/>
  <c r="N176" i="84"/>
  <c r="M176" i="84"/>
  <c r="L176" i="84"/>
  <c r="K176" i="84"/>
  <c r="J176" i="84"/>
  <c r="I176" i="84"/>
  <c r="H176" i="84"/>
  <c r="G176" i="84"/>
  <c r="F176" i="84"/>
  <c r="E176" i="84"/>
  <c r="N169" i="84"/>
  <c r="M169" i="84"/>
  <c r="L169" i="84"/>
  <c r="K169" i="84"/>
  <c r="J169" i="84"/>
  <c r="I169" i="84"/>
  <c r="H169" i="84"/>
  <c r="G169" i="84"/>
  <c r="F169" i="84"/>
  <c r="E169" i="84"/>
  <c r="B169" i="84"/>
  <c r="N168" i="84"/>
  <c r="M168" i="84"/>
  <c r="L168" i="84"/>
  <c r="K168" i="84"/>
  <c r="J168" i="84"/>
  <c r="I168" i="84"/>
  <c r="H168" i="84"/>
  <c r="G168" i="84"/>
  <c r="F168" i="84"/>
  <c r="E168" i="84"/>
  <c r="N167" i="84"/>
  <c r="M167" i="84"/>
  <c r="L167" i="84"/>
  <c r="K167" i="84"/>
  <c r="J167" i="84"/>
  <c r="I167" i="84"/>
  <c r="H167" i="84"/>
  <c r="G167" i="84"/>
  <c r="F167" i="84"/>
  <c r="E167" i="84"/>
  <c r="B161" i="84"/>
  <c r="N151" i="84"/>
  <c r="M151" i="84"/>
  <c r="L151" i="84"/>
  <c r="K151" i="84"/>
  <c r="J151" i="84"/>
  <c r="I151" i="84"/>
  <c r="H151" i="84"/>
  <c r="G151" i="84"/>
  <c r="F151" i="84"/>
  <c r="E151" i="84"/>
  <c r="B151" i="84"/>
  <c r="N150" i="84"/>
  <c r="M150" i="84"/>
  <c r="L150" i="84"/>
  <c r="K150" i="84"/>
  <c r="J150" i="84"/>
  <c r="I150" i="84"/>
  <c r="H150" i="84"/>
  <c r="G150" i="84"/>
  <c r="F150" i="84"/>
  <c r="E150" i="84"/>
  <c r="N149" i="84"/>
  <c r="M149" i="84"/>
  <c r="L149" i="84"/>
  <c r="K149" i="84"/>
  <c r="J149" i="84"/>
  <c r="I149" i="84"/>
  <c r="H149" i="84"/>
  <c r="G149" i="84"/>
  <c r="F149" i="84"/>
  <c r="E149" i="84"/>
  <c r="N148" i="84"/>
  <c r="M148" i="84"/>
  <c r="L148" i="84"/>
  <c r="K148" i="84"/>
  <c r="J148" i="84"/>
  <c r="I148" i="84"/>
  <c r="H148" i="84"/>
  <c r="G148" i="84"/>
  <c r="F148" i="84"/>
  <c r="E148" i="84"/>
  <c r="N147" i="84"/>
  <c r="M147" i="84"/>
  <c r="L147" i="84"/>
  <c r="K147" i="84"/>
  <c r="J147" i="84"/>
  <c r="I147" i="84"/>
  <c r="H147" i="84"/>
  <c r="G147" i="84"/>
  <c r="F147" i="84"/>
  <c r="E147" i="84"/>
  <c r="N146" i="84"/>
  <c r="M146" i="84"/>
  <c r="L146" i="84"/>
  <c r="K146" i="84"/>
  <c r="J146" i="84"/>
  <c r="I146" i="84"/>
  <c r="H146" i="84"/>
  <c r="G146" i="84"/>
  <c r="F146" i="84"/>
  <c r="E146" i="84"/>
  <c r="N145" i="84"/>
  <c r="M145" i="84"/>
  <c r="L145" i="84"/>
  <c r="K145" i="84"/>
  <c r="J145" i="84"/>
  <c r="I145" i="84"/>
  <c r="H145" i="84"/>
  <c r="G145" i="84"/>
  <c r="F145" i="84"/>
  <c r="E145" i="84"/>
  <c r="N144" i="84"/>
  <c r="M144" i="84"/>
  <c r="L144" i="84"/>
  <c r="K144" i="84"/>
  <c r="J144" i="84"/>
  <c r="I144" i="84"/>
  <c r="H144" i="84"/>
  <c r="G144" i="84"/>
  <c r="F144" i="84"/>
  <c r="E144" i="84"/>
  <c r="N143" i="84"/>
  <c r="M143" i="84"/>
  <c r="L143" i="84"/>
  <c r="K143" i="84"/>
  <c r="J143" i="84"/>
  <c r="I143" i="84"/>
  <c r="H143" i="84"/>
  <c r="G143" i="84"/>
  <c r="F143" i="84"/>
  <c r="E143" i="84"/>
  <c r="B138" i="84"/>
  <c r="B137" i="84"/>
  <c r="B135" i="84"/>
  <c r="B134" i="84"/>
  <c r="B128" i="84"/>
  <c r="B127" i="84"/>
  <c r="B125" i="84"/>
  <c r="B124" i="84"/>
  <c r="B118" i="84"/>
  <c r="B117" i="84"/>
  <c r="B115" i="84"/>
  <c r="B114" i="84"/>
  <c r="B105" i="84"/>
  <c r="B104" i="84"/>
  <c r="B102" i="84"/>
  <c r="B101" i="84"/>
  <c r="B92" i="84"/>
  <c r="B91" i="84"/>
  <c r="B89" i="84"/>
  <c r="B88" i="84"/>
  <c r="B78" i="84"/>
  <c r="B77" i="84"/>
  <c r="B73" i="84"/>
  <c r="B72" i="84"/>
  <c r="B62" i="84"/>
  <c r="B61" i="84"/>
  <c r="B57" i="84"/>
  <c r="B56" i="84"/>
  <c r="B47" i="84"/>
  <c r="B46" i="84"/>
  <c r="B42" i="84"/>
  <c r="B41" i="84"/>
  <c r="N35" i="84"/>
  <c r="M35" i="84"/>
  <c r="L35" i="84"/>
  <c r="K35" i="84"/>
  <c r="J35" i="84"/>
  <c r="I35" i="84"/>
  <c r="H35" i="84"/>
  <c r="G35" i="84"/>
  <c r="F35" i="84"/>
  <c r="E35" i="84"/>
  <c r="N34" i="84"/>
  <c r="M34" i="84"/>
  <c r="L34" i="84"/>
  <c r="K34" i="84"/>
  <c r="J34" i="84"/>
  <c r="I34" i="84"/>
  <c r="H34" i="84"/>
  <c r="G34" i="84"/>
  <c r="F34" i="84"/>
  <c r="E34" i="84"/>
  <c r="N33" i="84"/>
  <c r="M33" i="84"/>
  <c r="L33" i="84"/>
  <c r="K33" i="84"/>
  <c r="J33" i="84"/>
  <c r="I33" i="84"/>
  <c r="H33" i="84"/>
  <c r="G33" i="84"/>
  <c r="F33" i="84"/>
  <c r="E33" i="84"/>
  <c r="N27" i="84"/>
  <c r="M27" i="84"/>
  <c r="L27" i="84"/>
  <c r="K27" i="84"/>
  <c r="J27" i="84"/>
  <c r="I27" i="84"/>
  <c r="H27" i="84"/>
  <c r="G27" i="84"/>
  <c r="F27" i="84"/>
  <c r="E27" i="84"/>
  <c r="N26" i="84"/>
  <c r="M26" i="84"/>
  <c r="L26" i="84"/>
  <c r="K26" i="84"/>
  <c r="J26" i="84"/>
  <c r="I26" i="84"/>
  <c r="H26" i="84"/>
  <c r="G26" i="84"/>
  <c r="F26" i="84"/>
  <c r="E26" i="84"/>
  <c r="N21" i="84"/>
  <c r="M21" i="84"/>
  <c r="L21" i="84"/>
  <c r="K21" i="84"/>
  <c r="J21" i="84"/>
  <c r="I21" i="84"/>
  <c r="H21" i="84"/>
  <c r="G21" i="84"/>
  <c r="F21" i="84"/>
  <c r="E21" i="84"/>
  <c r="N20" i="84"/>
  <c r="M20" i="84"/>
  <c r="L20" i="84"/>
  <c r="K20" i="84"/>
  <c r="J20" i="84"/>
  <c r="I20" i="84"/>
  <c r="H20" i="84"/>
  <c r="G20" i="84"/>
  <c r="F20" i="84"/>
  <c r="E20" i="84"/>
  <c r="N19" i="84"/>
  <c r="M19" i="84"/>
  <c r="L19" i="84"/>
  <c r="K19" i="84"/>
  <c r="J19" i="84"/>
  <c r="I19" i="84"/>
  <c r="H19" i="84"/>
  <c r="G19" i="84"/>
  <c r="F19" i="84"/>
  <c r="E19" i="84"/>
  <c r="N14" i="84"/>
  <c r="M14" i="84"/>
  <c r="L14" i="84"/>
  <c r="K14" i="84"/>
  <c r="J14" i="84"/>
  <c r="I14" i="84"/>
  <c r="H14" i="84"/>
  <c r="G14" i="84"/>
  <c r="F14" i="84"/>
  <c r="E14" i="84"/>
  <c r="N13" i="84"/>
  <c r="M13" i="84"/>
  <c r="L13" i="84"/>
  <c r="K13" i="84"/>
  <c r="J13" i="84"/>
  <c r="I13" i="84"/>
  <c r="H13" i="84"/>
  <c r="G13" i="84"/>
  <c r="F13" i="84"/>
  <c r="E13" i="84"/>
  <c r="N8" i="84"/>
  <c r="M8" i="84"/>
  <c r="L8" i="84"/>
  <c r="K8" i="84"/>
  <c r="J8" i="84"/>
  <c r="I8" i="84"/>
  <c r="H8" i="84"/>
  <c r="G8" i="84"/>
  <c r="F8" i="84"/>
  <c r="E8" i="84"/>
  <c r="N7" i="84"/>
  <c r="M7" i="84"/>
  <c r="L7" i="84"/>
  <c r="K7" i="84"/>
  <c r="J7" i="84"/>
  <c r="I7" i="84"/>
  <c r="H7" i="84"/>
  <c r="G7" i="84"/>
  <c r="F7" i="84"/>
  <c r="E7" i="84"/>
  <c r="N6" i="84"/>
  <c r="M6" i="84"/>
  <c r="L6" i="84"/>
  <c r="K6" i="84"/>
  <c r="J6" i="84"/>
  <c r="I6" i="84"/>
  <c r="H6" i="84"/>
  <c r="G6" i="84"/>
  <c r="F6" i="84"/>
  <c r="E6" i="84"/>
  <c r="N2" i="84"/>
  <c r="M2" i="84"/>
  <c r="L2" i="84"/>
  <c r="K2" i="84"/>
  <c r="J2" i="84"/>
  <c r="I2" i="84"/>
  <c r="H2" i="84"/>
  <c r="G2" i="84"/>
  <c r="F2" i="84"/>
  <c r="E2" i="84"/>
  <c r="B291" i="8"/>
  <c r="A291" i="8"/>
  <c r="B290" i="8"/>
  <c r="A290" i="8"/>
  <c r="N289" i="8"/>
  <c r="N42" i="81" s="1"/>
  <c r="M289" i="8"/>
  <c r="M42" i="81" s="1"/>
  <c r="L289" i="8"/>
  <c r="L42" i="81" s="1"/>
  <c r="K289" i="8"/>
  <c r="K42" i="81" s="1"/>
  <c r="J289" i="8"/>
  <c r="J42" i="81" s="1"/>
  <c r="I289" i="8"/>
  <c r="I42" i="81" s="1"/>
  <c r="H289" i="8"/>
  <c r="H42" i="81" s="1"/>
  <c r="G289" i="8"/>
  <c r="G42" i="81" s="1"/>
  <c r="F289" i="8"/>
  <c r="F42" i="81" s="1"/>
  <c r="E289" i="8"/>
  <c r="E42" i="81" s="1"/>
  <c r="B289" i="8"/>
  <c r="A289" i="8"/>
  <c r="N288" i="8"/>
  <c r="N41" i="81" s="1"/>
  <c r="M288" i="8"/>
  <c r="M41" i="81" s="1"/>
  <c r="L288" i="8"/>
  <c r="L41" i="81" s="1"/>
  <c r="K288" i="8"/>
  <c r="K41" i="81" s="1"/>
  <c r="J288" i="8"/>
  <c r="J41" i="81" s="1"/>
  <c r="I288" i="8"/>
  <c r="I41" i="81" s="1"/>
  <c r="H288" i="8"/>
  <c r="H41" i="81" s="1"/>
  <c r="G288" i="8"/>
  <c r="G41" i="81" s="1"/>
  <c r="F288" i="8"/>
  <c r="F41" i="81" s="1"/>
  <c r="E288" i="8"/>
  <c r="E41" i="81" s="1"/>
  <c r="B288" i="8"/>
  <c r="A288" i="8"/>
  <c r="N287" i="8"/>
  <c r="N40" i="81" s="1"/>
  <c r="M287" i="8"/>
  <c r="M40" i="81" s="1"/>
  <c r="L287" i="8"/>
  <c r="L40" i="81" s="1"/>
  <c r="K287" i="8"/>
  <c r="K40" i="81" s="1"/>
  <c r="J287" i="8"/>
  <c r="J40" i="81" s="1"/>
  <c r="I287" i="8"/>
  <c r="I40" i="81" s="1"/>
  <c r="H287" i="8"/>
  <c r="H40" i="81" s="1"/>
  <c r="G287" i="8"/>
  <c r="G40" i="81" s="1"/>
  <c r="F287" i="8"/>
  <c r="F40" i="81" s="1"/>
  <c r="E287" i="8"/>
  <c r="E40" i="81" s="1"/>
  <c r="B287" i="8"/>
  <c r="A287" i="8"/>
  <c r="N286" i="8"/>
  <c r="N39" i="81" s="1"/>
  <c r="M286" i="8"/>
  <c r="M39" i="81" s="1"/>
  <c r="L286" i="8"/>
  <c r="L39" i="81" s="1"/>
  <c r="K286" i="8"/>
  <c r="K39" i="81" s="1"/>
  <c r="J286" i="8"/>
  <c r="J39" i="81" s="1"/>
  <c r="I286" i="8"/>
  <c r="I39" i="81" s="1"/>
  <c r="H286" i="8"/>
  <c r="H39" i="81" s="1"/>
  <c r="G286" i="8"/>
  <c r="G39" i="81" s="1"/>
  <c r="F286" i="8"/>
  <c r="F39" i="81" s="1"/>
  <c r="E286" i="8"/>
  <c r="E39" i="81" s="1"/>
  <c r="B286" i="8"/>
  <c r="A286" i="8"/>
  <c r="N285" i="8"/>
  <c r="N38" i="81" s="1"/>
  <c r="M285" i="8"/>
  <c r="M38" i="81" s="1"/>
  <c r="L285" i="8"/>
  <c r="L38" i="81" s="1"/>
  <c r="K285" i="8"/>
  <c r="K38" i="81" s="1"/>
  <c r="J285" i="8"/>
  <c r="J38" i="81" s="1"/>
  <c r="I285" i="8"/>
  <c r="I38" i="81" s="1"/>
  <c r="H285" i="8"/>
  <c r="H38" i="81" s="1"/>
  <c r="G285" i="8"/>
  <c r="G38" i="81" s="1"/>
  <c r="F285" i="8"/>
  <c r="F38" i="81" s="1"/>
  <c r="E285" i="8"/>
  <c r="E38" i="81" s="1"/>
  <c r="B285" i="8"/>
  <c r="A285" i="8"/>
  <c r="N284" i="8"/>
  <c r="N37" i="81" s="1"/>
  <c r="M284" i="8"/>
  <c r="M37" i="81" s="1"/>
  <c r="L284" i="8"/>
  <c r="L37" i="81" s="1"/>
  <c r="K284" i="8"/>
  <c r="K37" i="81" s="1"/>
  <c r="J284" i="8"/>
  <c r="J37" i="81" s="1"/>
  <c r="I284" i="8"/>
  <c r="I37" i="81" s="1"/>
  <c r="H284" i="8"/>
  <c r="H37" i="81" s="1"/>
  <c r="G284" i="8"/>
  <c r="G37" i="81" s="1"/>
  <c r="F284" i="8"/>
  <c r="F37" i="81" s="1"/>
  <c r="E284" i="8"/>
  <c r="E37" i="81" s="1"/>
  <c r="B284" i="8"/>
  <c r="A284" i="8"/>
  <c r="N283" i="8"/>
  <c r="N36" i="81" s="1"/>
  <c r="M283" i="8"/>
  <c r="M36" i="81" s="1"/>
  <c r="L283" i="8"/>
  <c r="L36" i="81" s="1"/>
  <c r="K283" i="8"/>
  <c r="K36" i="81" s="1"/>
  <c r="J283" i="8"/>
  <c r="J36" i="81" s="1"/>
  <c r="I283" i="8"/>
  <c r="I36" i="81" s="1"/>
  <c r="H283" i="8"/>
  <c r="H36" i="81" s="1"/>
  <c r="G283" i="8"/>
  <c r="G36" i="81" s="1"/>
  <c r="F283" i="8"/>
  <c r="F36" i="81" s="1"/>
  <c r="E283" i="8"/>
  <c r="E36" i="81" s="1"/>
  <c r="B283" i="8"/>
  <c r="A283" i="8"/>
  <c r="H282" i="8"/>
  <c r="H35" i="81" s="1"/>
  <c r="G282" i="8"/>
  <c r="G35" i="81" s="1"/>
  <c r="F282" i="8"/>
  <c r="F35" i="81" s="1"/>
  <c r="E282" i="8"/>
  <c r="E35" i="81" s="1"/>
  <c r="B282" i="8"/>
  <c r="A282" i="8"/>
  <c r="H281" i="8"/>
  <c r="H34" i="81" s="1"/>
  <c r="G281" i="8"/>
  <c r="G34" i="81" s="1"/>
  <c r="F281" i="8"/>
  <c r="F34" i="81" s="1"/>
  <c r="E281" i="8"/>
  <c r="E34" i="81" s="1"/>
  <c r="B281" i="8"/>
  <c r="A281" i="8"/>
  <c r="H280" i="8"/>
  <c r="H33" i="81" s="1"/>
  <c r="G280" i="8"/>
  <c r="G33" i="81" s="1"/>
  <c r="F280" i="8"/>
  <c r="F33" i="81" s="1"/>
  <c r="E280" i="8"/>
  <c r="E33" i="81" s="1"/>
  <c r="B280" i="8"/>
  <c r="A280" i="8"/>
  <c r="H279" i="8"/>
  <c r="H32" i="81" s="1"/>
  <c r="G279" i="8"/>
  <c r="G32" i="81" s="1"/>
  <c r="F279" i="8"/>
  <c r="F32" i="81" s="1"/>
  <c r="E279" i="8"/>
  <c r="E32" i="81" s="1"/>
  <c r="B279" i="8"/>
  <c r="A279" i="8"/>
  <c r="H278" i="8"/>
  <c r="H31" i="81" s="1"/>
  <c r="G278" i="8"/>
  <c r="G31" i="81" s="1"/>
  <c r="F278" i="8"/>
  <c r="F31" i="81" s="1"/>
  <c r="E278" i="8"/>
  <c r="E31" i="81" s="1"/>
  <c r="B278" i="8"/>
  <c r="A278" i="8"/>
  <c r="H277" i="8"/>
  <c r="G277" i="8"/>
  <c r="F277" i="8"/>
  <c r="E277" i="8"/>
  <c r="B277" i="8"/>
  <c r="A277" i="8"/>
  <c r="H276" i="8"/>
  <c r="G276" i="8"/>
  <c r="F276" i="8"/>
  <c r="E276" i="8"/>
  <c r="B276" i="8"/>
  <c r="A276" i="8"/>
  <c r="N274" i="8"/>
  <c r="N28" i="81" s="1"/>
  <c r="M274" i="8"/>
  <c r="M28" i="81" s="1"/>
  <c r="L274" i="8"/>
  <c r="L28" i="81" s="1"/>
  <c r="K274" i="8"/>
  <c r="K28" i="81" s="1"/>
  <c r="J274" i="8"/>
  <c r="J28" i="81" s="1"/>
  <c r="I274" i="8"/>
  <c r="I28" i="81" s="1"/>
  <c r="H274" i="8"/>
  <c r="H28" i="81" s="1"/>
  <c r="G274" i="8"/>
  <c r="G28" i="81" s="1"/>
  <c r="F274" i="8"/>
  <c r="F28" i="81" s="1"/>
  <c r="E274" i="8"/>
  <c r="E28" i="81" s="1"/>
  <c r="B274" i="8"/>
  <c r="A274" i="8"/>
  <c r="N273" i="8"/>
  <c r="M273" i="8"/>
  <c r="M27" i="81" s="1"/>
  <c r="L273" i="8"/>
  <c r="L27" i="81" s="1"/>
  <c r="K273" i="8"/>
  <c r="K27" i="81" s="1"/>
  <c r="J273" i="8"/>
  <c r="I273" i="8"/>
  <c r="H273" i="8"/>
  <c r="H27" i="81" s="1"/>
  <c r="G273" i="8"/>
  <c r="G27" i="81" s="1"/>
  <c r="F273" i="8"/>
  <c r="E273" i="8"/>
  <c r="E27" i="81" s="1"/>
  <c r="B273" i="8"/>
  <c r="A273" i="8"/>
  <c r="N272" i="8"/>
  <c r="N26" i="81" s="1"/>
  <c r="M272" i="8"/>
  <c r="M26" i="81" s="1"/>
  <c r="L272" i="8"/>
  <c r="L26" i="81" s="1"/>
  <c r="K272" i="8"/>
  <c r="K26" i="81" s="1"/>
  <c r="J272" i="8"/>
  <c r="I272" i="8"/>
  <c r="H272" i="8"/>
  <c r="H26" i="81" s="1"/>
  <c r="G272" i="8"/>
  <c r="G26" i="81" s="1"/>
  <c r="F272" i="8"/>
  <c r="E272" i="8"/>
  <c r="B272" i="8"/>
  <c r="A272" i="8"/>
  <c r="N271" i="8"/>
  <c r="M271" i="8"/>
  <c r="L271" i="8"/>
  <c r="K271" i="8"/>
  <c r="J271" i="8"/>
  <c r="I271" i="8"/>
  <c r="H271" i="8"/>
  <c r="H25" i="81" s="1"/>
  <c r="G271" i="8"/>
  <c r="F271" i="8"/>
  <c r="E271" i="8"/>
  <c r="B271" i="8"/>
  <c r="A271" i="8"/>
  <c r="N270" i="8"/>
  <c r="N24" i="81" s="1"/>
  <c r="M270" i="8"/>
  <c r="M24" i="81" s="1"/>
  <c r="L270" i="8"/>
  <c r="L24" i="81" s="1"/>
  <c r="K270" i="8"/>
  <c r="K24" i="81" s="1"/>
  <c r="J270" i="8"/>
  <c r="J24" i="81" s="1"/>
  <c r="I270" i="8"/>
  <c r="I24" i="81" s="1"/>
  <c r="H270" i="8"/>
  <c r="H24" i="81" s="1"/>
  <c r="G270" i="8"/>
  <c r="G24" i="81" s="1"/>
  <c r="F270" i="8"/>
  <c r="F24" i="81" s="1"/>
  <c r="E270" i="8"/>
  <c r="E24" i="81" s="1"/>
  <c r="B270" i="8"/>
  <c r="A270" i="8"/>
  <c r="N269" i="8"/>
  <c r="M269" i="8"/>
  <c r="L269" i="8"/>
  <c r="K269" i="8"/>
  <c r="J269" i="8"/>
  <c r="I269" i="8"/>
  <c r="I23" i="81" s="1"/>
  <c r="H269" i="8"/>
  <c r="H23" i="81" s="1"/>
  <c r="G269" i="8"/>
  <c r="F269" i="8"/>
  <c r="E269" i="8"/>
  <c r="E23" i="81" s="1"/>
  <c r="B269" i="8"/>
  <c r="A269" i="8"/>
  <c r="N268" i="8"/>
  <c r="M268" i="8"/>
  <c r="L268" i="8"/>
  <c r="K268" i="8"/>
  <c r="J268" i="8"/>
  <c r="I268" i="8"/>
  <c r="H268" i="8"/>
  <c r="G268" i="8"/>
  <c r="F268" i="8"/>
  <c r="E268" i="8"/>
  <c r="B268" i="8"/>
  <c r="A268" i="8"/>
  <c r="B267" i="8"/>
  <c r="A267" i="8"/>
  <c r="B266" i="8"/>
  <c r="A266" i="8"/>
  <c r="B265" i="8"/>
  <c r="A265" i="8"/>
  <c r="B264" i="8"/>
  <c r="A264" i="8"/>
  <c r="B263" i="8"/>
  <c r="A263" i="8"/>
  <c r="B262" i="8"/>
  <c r="A262" i="8"/>
  <c r="B261" i="8"/>
  <c r="A261" i="8"/>
  <c r="B260" i="8"/>
  <c r="A260" i="8"/>
  <c r="B259" i="8"/>
  <c r="A259" i="8"/>
  <c r="B258" i="8"/>
  <c r="A258" i="8"/>
  <c r="B257" i="8"/>
  <c r="A257" i="8"/>
  <c r="B256" i="8"/>
  <c r="A256" i="8"/>
  <c r="A255" i="8"/>
  <c r="A254" i="8"/>
  <c r="A253" i="8"/>
  <c r="B252" i="8"/>
  <c r="A252" i="8"/>
  <c r="B251" i="8"/>
  <c r="A251" i="8"/>
  <c r="B250" i="8"/>
  <c r="A250" i="8"/>
  <c r="B249" i="8"/>
  <c r="A249" i="8"/>
  <c r="B248" i="8"/>
  <c r="A248" i="8"/>
  <c r="B247" i="8"/>
  <c r="A247" i="8"/>
  <c r="B246" i="8"/>
  <c r="A246" i="8"/>
  <c r="B245" i="8"/>
  <c r="A245" i="8"/>
  <c r="B244" i="8"/>
  <c r="A244" i="8"/>
  <c r="A243" i="8"/>
  <c r="A242" i="8"/>
  <c r="B241" i="8"/>
  <c r="A241" i="8"/>
  <c r="A240" i="8"/>
  <c r="A239" i="8"/>
  <c r="B238" i="8"/>
  <c r="A238" i="8"/>
  <c r="B237" i="8"/>
  <c r="A237" i="8"/>
  <c r="A236" i="8"/>
  <c r="A235" i="8"/>
  <c r="B234" i="8"/>
  <c r="A234" i="8"/>
  <c r="A233" i="8"/>
  <c r="A232" i="8"/>
  <c r="B231" i="8"/>
  <c r="A231" i="8"/>
  <c r="B230" i="8"/>
  <c r="A230" i="8"/>
  <c r="A229" i="8"/>
  <c r="A228" i="8"/>
  <c r="B227" i="8"/>
  <c r="A227" i="8"/>
  <c r="A226" i="8"/>
  <c r="A225" i="8"/>
  <c r="A224" i="8"/>
  <c r="B223" i="8"/>
  <c r="A223" i="8"/>
  <c r="B222" i="8"/>
  <c r="A222" i="8"/>
  <c r="A221" i="8"/>
  <c r="A220" i="8"/>
  <c r="A219" i="8"/>
  <c r="B218" i="8"/>
  <c r="A218" i="8"/>
  <c r="A217" i="8"/>
  <c r="A216" i="8"/>
  <c r="A215" i="8"/>
  <c r="B214" i="8"/>
  <c r="A214" i="8"/>
  <c r="A213" i="8"/>
  <c r="A212" i="8"/>
  <c r="A211" i="8"/>
  <c r="B210" i="8"/>
  <c r="A210" i="8"/>
  <c r="A209" i="8"/>
  <c r="A208" i="8"/>
  <c r="A207" i="8"/>
  <c r="B206" i="8"/>
  <c r="A206" i="8"/>
  <c r="B205" i="8"/>
  <c r="A205" i="8"/>
  <c r="N204" i="8"/>
  <c r="M204" i="8"/>
  <c r="L204" i="8"/>
  <c r="K204" i="8"/>
  <c r="J204" i="8"/>
  <c r="I204" i="8"/>
  <c r="H204" i="8"/>
  <c r="G204" i="8"/>
  <c r="F204" i="8"/>
  <c r="E204" i="8"/>
  <c r="A204" i="8"/>
  <c r="A203" i="8"/>
  <c r="A202" i="8"/>
  <c r="A201" i="8"/>
  <c r="A200" i="8"/>
  <c r="A199" i="8"/>
  <c r="B198" i="8"/>
  <c r="A198" i="8"/>
  <c r="B197" i="8"/>
  <c r="A197" i="8"/>
  <c r="B196" i="8"/>
  <c r="A196" i="8"/>
  <c r="B195" i="8"/>
  <c r="A195" i="8"/>
  <c r="A194" i="8"/>
  <c r="A193" i="8"/>
  <c r="A192" i="8"/>
  <c r="A191" i="8"/>
  <c r="A190" i="8"/>
  <c r="B189" i="8"/>
  <c r="A189" i="8"/>
  <c r="B188" i="8"/>
  <c r="A188" i="8"/>
  <c r="B187" i="8"/>
  <c r="A187" i="8"/>
  <c r="B186" i="8"/>
  <c r="A186" i="8"/>
  <c r="A185" i="8"/>
  <c r="A184" i="8"/>
  <c r="A183" i="8"/>
  <c r="A182" i="8"/>
  <c r="A181" i="8"/>
  <c r="B180" i="8"/>
  <c r="A180" i="8"/>
  <c r="B179" i="8"/>
  <c r="A179" i="8"/>
  <c r="B178" i="8"/>
  <c r="A178" i="8"/>
  <c r="B177" i="8"/>
  <c r="A177" i="8"/>
  <c r="A176" i="8"/>
  <c r="A175" i="8"/>
  <c r="A174" i="8"/>
  <c r="B173" i="8"/>
  <c r="A173" i="8"/>
  <c r="B172" i="8"/>
  <c r="A172" i="8"/>
  <c r="A171" i="8"/>
  <c r="A170" i="8"/>
  <c r="A169" i="8"/>
  <c r="B168" i="8"/>
  <c r="A168" i="8"/>
  <c r="B167" i="8"/>
  <c r="A167" i="8"/>
  <c r="B166" i="8"/>
  <c r="A166" i="8"/>
  <c r="B165" i="8"/>
  <c r="A165" i="8"/>
  <c r="B161" i="8"/>
  <c r="B157" i="8"/>
  <c r="B153" i="8"/>
  <c r="B149" i="8"/>
  <c r="B145" i="8"/>
  <c r="A145" i="8"/>
  <c r="B144" i="8"/>
  <c r="A144" i="8"/>
  <c r="A143" i="8"/>
  <c r="A142" i="8"/>
  <c r="A141" i="8"/>
  <c r="B140" i="8"/>
  <c r="A140" i="8"/>
  <c r="B139" i="8"/>
  <c r="A139" i="8"/>
  <c r="A138" i="8"/>
  <c r="A137" i="8"/>
  <c r="A136" i="8"/>
  <c r="B135" i="8"/>
  <c r="A135" i="8"/>
  <c r="B134" i="8"/>
  <c r="A134" i="8"/>
  <c r="H133" i="8"/>
  <c r="G133" i="8"/>
  <c r="F133" i="8"/>
  <c r="E133" i="8"/>
  <c r="A133" i="8"/>
  <c r="H132" i="8"/>
  <c r="G132" i="8"/>
  <c r="F132" i="8"/>
  <c r="E132" i="8"/>
  <c r="A132" i="8"/>
  <c r="H131" i="8"/>
  <c r="G131" i="8"/>
  <c r="F131" i="8"/>
  <c r="E131" i="8"/>
  <c r="A131" i="8"/>
  <c r="B130" i="8"/>
  <c r="A130" i="8"/>
  <c r="B129" i="8"/>
  <c r="A129" i="8"/>
  <c r="B128" i="8"/>
  <c r="A128" i="8"/>
  <c r="B127" i="8"/>
  <c r="A127" i="8"/>
  <c r="B126" i="8"/>
  <c r="A126" i="8"/>
  <c r="A125" i="8"/>
  <c r="A124" i="8"/>
  <c r="B123" i="8"/>
  <c r="A123" i="8"/>
  <c r="B122" i="8"/>
  <c r="A122" i="8"/>
  <c r="A121" i="8"/>
  <c r="A120" i="8"/>
  <c r="B119" i="8"/>
  <c r="A119" i="8"/>
  <c r="B118" i="8"/>
  <c r="A118" i="8"/>
  <c r="H117" i="8"/>
  <c r="G117" i="8"/>
  <c r="F117" i="8"/>
  <c r="E117" i="8"/>
  <c r="E36" i="72" s="1"/>
  <c r="B117" i="8"/>
  <c r="A117" i="8"/>
  <c r="H116" i="8"/>
  <c r="G116" i="8"/>
  <c r="F116" i="8"/>
  <c r="E116" i="8"/>
  <c r="B116" i="8"/>
  <c r="A116" i="8"/>
  <c r="H115" i="8"/>
  <c r="G115" i="8"/>
  <c r="F115" i="8"/>
  <c r="E115" i="8"/>
  <c r="B115" i="8"/>
  <c r="A115" i="8"/>
  <c r="B114" i="8"/>
  <c r="A114" i="8"/>
  <c r="A113" i="8"/>
  <c r="A112" i="8"/>
  <c r="B111" i="8"/>
  <c r="A111" i="8"/>
  <c r="A110" i="8"/>
  <c r="A109" i="8"/>
  <c r="B108" i="8"/>
  <c r="A108" i="8"/>
  <c r="B107" i="8"/>
  <c r="A107" i="8"/>
  <c r="A106" i="8"/>
  <c r="A105" i="8"/>
  <c r="A104" i="8"/>
  <c r="A103" i="8"/>
  <c r="B102" i="8"/>
  <c r="A102" i="8"/>
  <c r="B101" i="8"/>
  <c r="A101" i="8"/>
  <c r="A100" i="8"/>
  <c r="A99" i="8"/>
  <c r="A98" i="8"/>
  <c r="A97" i="8"/>
  <c r="B96" i="8"/>
  <c r="A96" i="8"/>
  <c r="B95" i="8"/>
  <c r="A95" i="8"/>
  <c r="H94" i="8"/>
  <c r="G94" i="8"/>
  <c r="F94" i="8"/>
  <c r="E94" i="8"/>
  <c r="A94" i="8"/>
  <c r="H93" i="8"/>
  <c r="G93" i="8"/>
  <c r="F93" i="8"/>
  <c r="E93" i="8"/>
  <c r="A93" i="8"/>
  <c r="H92" i="8"/>
  <c r="G92" i="8"/>
  <c r="F92" i="8"/>
  <c r="E92" i="8"/>
  <c r="A92" i="8"/>
  <c r="H91" i="8"/>
  <c r="G91" i="8"/>
  <c r="F91" i="8"/>
  <c r="E91" i="8"/>
  <c r="A91" i="8"/>
  <c r="B90" i="8"/>
  <c r="A90" i="8"/>
  <c r="B89" i="8"/>
  <c r="A89" i="8"/>
  <c r="B88" i="8"/>
  <c r="A88" i="8"/>
  <c r="B87" i="8"/>
  <c r="A87" i="8"/>
  <c r="B86" i="8"/>
  <c r="A86" i="8"/>
  <c r="A85" i="8"/>
  <c r="A84" i="8"/>
  <c r="A83" i="8"/>
  <c r="B82" i="8"/>
  <c r="A82" i="8"/>
  <c r="B81" i="8"/>
  <c r="A81" i="8"/>
  <c r="A80" i="8"/>
  <c r="A79" i="8"/>
  <c r="A78" i="8"/>
  <c r="B77" i="8"/>
  <c r="A77" i="8"/>
  <c r="B76" i="8"/>
  <c r="A76" i="8"/>
  <c r="H75" i="8"/>
  <c r="G75" i="8"/>
  <c r="F75" i="8"/>
  <c r="E75" i="8"/>
  <c r="B75" i="8"/>
  <c r="A75" i="8"/>
  <c r="H74" i="8"/>
  <c r="G74" i="8"/>
  <c r="F74" i="8"/>
  <c r="E74" i="8"/>
  <c r="E10" i="72" s="1"/>
  <c r="B74" i="8"/>
  <c r="A74" i="8"/>
  <c r="H73" i="8"/>
  <c r="G73" i="8"/>
  <c r="F73" i="8"/>
  <c r="E73" i="8"/>
  <c r="B73" i="8"/>
  <c r="A73" i="8"/>
  <c r="B72" i="8"/>
  <c r="A72" i="8"/>
  <c r="A71" i="8"/>
  <c r="A70" i="8"/>
  <c r="A69" i="8"/>
  <c r="B68" i="8"/>
  <c r="A68" i="8"/>
  <c r="A67" i="8"/>
  <c r="A66" i="8"/>
  <c r="A65" i="8"/>
  <c r="B64" i="8"/>
  <c r="A64" i="8"/>
  <c r="B63" i="8"/>
  <c r="A63" i="8"/>
  <c r="A49" i="8"/>
  <c r="A48" i="8"/>
  <c r="B47" i="8"/>
  <c r="A46" i="8"/>
  <c r="A45" i="8"/>
  <c r="B44" i="8"/>
  <c r="A44" i="8"/>
  <c r="A42" i="8"/>
  <c r="B41" i="8"/>
  <c r="B40" i="8"/>
  <c r="A40" i="8"/>
  <c r="B39" i="8"/>
  <c r="A39" i="8"/>
  <c r="B38" i="8"/>
  <c r="A38" i="8"/>
  <c r="B37" i="8"/>
  <c r="A37" i="8"/>
  <c r="B36" i="8"/>
  <c r="A36" i="8"/>
  <c r="B35" i="8"/>
  <c r="A35" i="8"/>
  <c r="B34" i="8"/>
  <c r="A34" i="8"/>
  <c r="B33" i="8"/>
  <c r="A33" i="8"/>
  <c r="B32" i="8"/>
  <c r="A32" i="8"/>
  <c r="H31" i="8"/>
  <c r="G31" i="8"/>
  <c r="F31" i="8"/>
  <c r="E31" i="8"/>
  <c r="B31" i="8"/>
  <c r="A31" i="8"/>
  <c r="H29" i="8"/>
  <c r="G29" i="8"/>
  <c r="F29" i="8"/>
  <c r="E29" i="8"/>
  <c r="B29" i="8"/>
  <c r="A29" i="8"/>
  <c r="B28" i="8"/>
  <c r="A28" i="8"/>
  <c r="H27" i="8"/>
  <c r="G27" i="8"/>
  <c r="F27" i="8"/>
  <c r="E27" i="8"/>
  <c r="B27" i="8"/>
  <c r="A27" i="8"/>
  <c r="B26" i="8"/>
  <c r="A26" i="8"/>
  <c r="B25" i="8"/>
  <c r="A25" i="8"/>
  <c r="B24" i="8"/>
  <c r="A24" i="8"/>
  <c r="A23" i="8"/>
  <c r="A22" i="8"/>
  <c r="A21" i="8"/>
  <c r="A20" i="8"/>
  <c r="A19" i="8"/>
  <c r="A18" i="8"/>
  <c r="A17" i="8"/>
  <c r="A16" i="8"/>
  <c r="B15" i="8"/>
  <c r="A15" i="8"/>
  <c r="B14" i="8"/>
  <c r="A14" i="8"/>
  <c r="N13" i="8"/>
  <c r="M13" i="8"/>
  <c r="L13" i="8"/>
  <c r="K13" i="8"/>
  <c r="J13" i="8"/>
  <c r="I13" i="8"/>
  <c r="H13" i="8"/>
  <c r="G13" i="8"/>
  <c r="F13" i="8"/>
  <c r="E13" i="8"/>
  <c r="B13" i="8"/>
  <c r="A13" i="8"/>
  <c r="N12" i="8"/>
  <c r="M12" i="8"/>
  <c r="L12" i="8"/>
  <c r="K12" i="8"/>
  <c r="J12" i="8"/>
  <c r="I12" i="8"/>
  <c r="H12" i="8"/>
  <c r="G12" i="8"/>
  <c r="F12" i="8"/>
  <c r="E12" i="8"/>
  <c r="B12" i="8"/>
  <c r="A12" i="8"/>
  <c r="B11" i="8"/>
  <c r="A11" i="8"/>
  <c r="N10" i="8"/>
  <c r="M10" i="8"/>
  <c r="L10" i="8"/>
  <c r="K10" i="8"/>
  <c r="J10" i="8"/>
  <c r="I10" i="8"/>
  <c r="H10" i="8"/>
  <c r="G10" i="8"/>
  <c r="F10" i="8"/>
  <c r="E10" i="8"/>
  <c r="B10" i="8"/>
  <c r="A10" i="8"/>
  <c r="A9" i="8"/>
  <c r="A8" i="8"/>
  <c r="A7" i="8"/>
  <c r="A6" i="8"/>
  <c r="N2" i="8"/>
  <c r="M2" i="8"/>
  <c r="L2" i="8"/>
  <c r="K2" i="8"/>
  <c r="J2" i="8"/>
  <c r="I2" i="8"/>
  <c r="H2" i="8"/>
  <c r="G2" i="8"/>
  <c r="F2" i="8"/>
  <c r="E2" i="8"/>
  <c r="N61" i="23"/>
  <c r="M61" i="23"/>
  <c r="L61" i="23"/>
  <c r="K61" i="23"/>
  <c r="J61" i="23"/>
  <c r="I61" i="23"/>
  <c r="H61" i="23"/>
  <c r="G61" i="23"/>
  <c r="F61" i="23"/>
  <c r="E61" i="23"/>
  <c r="E72" i="77" s="1"/>
  <c r="O61" i="23"/>
  <c r="N60" i="23"/>
  <c r="M60" i="23"/>
  <c r="L60" i="23"/>
  <c r="K60" i="23"/>
  <c r="J60" i="23"/>
  <c r="I60" i="23"/>
  <c r="H60" i="23"/>
  <c r="G60" i="23"/>
  <c r="F60" i="23"/>
  <c r="E60" i="23"/>
  <c r="O60" i="23"/>
  <c r="B60" i="23"/>
  <c r="N59" i="23"/>
  <c r="M59" i="23"/>
  <c r="L59" i="23"/>
  <c r="K59" i="23"/>
  <c r="J59" i="23"/>
  <c r="I59" i="23"/>
  <c r="H59" i="23"/>
  <c r="G59" i="23"/>
  <c r="F59" i="23"/>
  <c r="E59" i="23"/>
  <c r="O59" i="23"/>
  <c r="N58" i="23"/>
  <c r="M58" i="23"/>
  <c r="L58" i="23"/>
  <c r="K58" i="23"/>
  <c r="J58" i="23"/>
  <c r="I58" i="23"/>
  <c r="H58" i="23"/>
  <c r="G58" i="23"/>
  <c r="F58" i="23"/>
  <c r="E58" i="23"/>
  <c r="O58" i="23"/>
  <c r="N57" i="23"/>
  <c r="N45" i="64" s="1"/>
  <c r="M57" i="23"/>
  <c r="M45" i="64" s="1"/>
  <c r="L57" i="23"/>
  <c r="L45" i="64" s="1"/>
  <c r="K57" i="23"/>
  <c r="K45" i="64" s="1"/>
  <c r="J57" i="23"/>
  <c r="J45" i="64" s="1"/>
  <c r="I57" i="23"/>
  <c r="I45" i="64" s="1"/>
  <c r="H57" i="23"/>
  <c r="H45" i="64" s="1"/>
  <c r="G57" i="23"/>
  <c r="G45" i="64" s="1"/>
  <c r="F57" i="23"/>
  <c r="F45" i="64" s="1"/>
  <c r="E57" i="23"/>
  <c r="E39" i="36" s="1"/>
  <c r="O57" i="23"/>
  <c r="N56" i="23"/>
  <c r="M56" i="23"/>
  <c r="L56" i="23"/>
  <c r="K56" i="23"/>
  <c r="J56" i="23"/>
  <c r="I56" i="23"/>
  <c r="H56" i="23"/>
  <c r="G56" i="23"/>
  <c r="F56" i="23"/>
  <c r="E56" i="23"/>
  <c r="E105" i="57" s="1"/>
  <c r="O56" i="23"/>
  <c r="O53" i="23"/>
  <c r="D53" i="23"/>
  <c r="N52" i="23"/>
  <c r="M52" i="23"/>
  <c r="L52" i="23"/>
  <c r="K52" i="23"/>
  <c r="J52" i="23"/>
  <c r="I52" i="23"/>
  <c r="H52" i="23"/>
  <c r="G52" i="23"/>
  <c r="F52" i="23"/>
  <c r="E52" i="23"/>
  <c r="E241" i="69" s="1"/>
  <c r="O52" i="23"/>
  <c r="N47" i="23"/>
  <c r="M47" i="23"/>
  <c r="L47" i="23"/>
  <c r="K47" i="23"/>
  <c r="J47" i="23"/>
  <c r="I47" i="23"/>
  <c r="H47" i="23"/>
  <c r="G47" i="23"/>
  <c r="F47" i="23"/>
  <c r="E47" i="23"/>
  <c r="O47" i="23"/>
  <c r="N46" i="23"/>
  <c r="M46" i="23"/>
  <c r="L46" i="23"/>
  <c r="K46" i="23"/>
  <c r="J46" i="23"/>
  <c r="I46" i="23"/>
  <c r="H46" i="23"/>
  <c r="G46" i="23"/>
  <c r="F46" i="23"/>
  <c r="E46" i="23"/>
  <c r="O46" i="23"/>
  <c r="O45" i="23"/>
  <c r="O44" i="23"/>
  <c r="D44" i="23"/>
  <c r="B44" i="23"/>
  <c r="D37" i="83" s="1"/>
  <c r="O43" i="23"/>
  <c r="D43" i="23"/>
  <c r="B43" i="23"/>
  <c r="D36" i="83" s="1"/>
  <c r="O42" i="23"/>
  <c r="D42" i="23"/>
  <c r="O41" i="23"/>
  <c r="D41" i="23"/>
  <c r="O40" i="23"/>
  <c r="D40" i="23"/>
  <c r="O39" i="23"/>
  <c r="D39" i="23"/>
  <c r="B39" i="23"/>
  <c r="D32" i="83" s="1"/>
  <c r="N36" i="23"/>
  <c r="M36" i="23"/>
  <c r="L36" i="23"/>
  <c r="K36" i="23"/>
  <c r="J36" i="23"/>
  <c r="I36" i="23"/>
  <c r="H36" i="23"/>
  <c r="G36" i="23"/>
  <c r="F36" i="23"/>
  <c r="E36" i="23"/>
  <c r="E90" i="57" s="1"/>
  <c r="O36" i="23"/>
  <c r="N35" i="23"/>
  <c r="M35" i="23"/>
  <c r="L35" i="23"/>
  <c r="K35" i="23"/>
  <c r="J35" i="23"/>
  <c r="I35" i="23"/>
  <c r="H35" i="23"/>
  <c r="G35" i="23"/>
  <c r="F35" i="23"/>
  <c r="E35" i="23"/>
  <c r="O35" i="23"/>
  <c r="N34" i="23"/>
  <c r="M34" i="23"/>
  <c r="L34" i="23"/>
  <c r="K34" i="23"/>
  <c r="J34" i="23"/>
  <c r="I34" i="23"/>
  <c r="H34" i="23"/>
  <c r="G34" i="23"/>
  <c r="F34" i="23"/>
  <c r="E34" i="23"/>
  <c r="O34" i="23"/>
  <c r="N33" i="23"/>
  <c r="M33" i="23"/>
  <c r="L33" i="23"/>
  <c r="K33" i="23"/>
  <c r="J33" i="23"/>
  <c r="I33" i="23"/>
  <c r="H33" i="23"/>
  <c r="G33" i="23"/>
  <c r="F33" i="23"/>
  <c r="E33" i="23"/>
  <c r="O33" i="23"/>
  <c r="N32" i="23"/>
  <c r="M32" i="23"/>
  <c r="L32" i="23"/>
  <c r="K32" i="23"/>
  <c r="J32" i="23"/>
  <c r="I32" i="23"/>
  <c r="H32" i="23"/>
  <c r="G32" i="23"/>
  <c r="F32" i="23"/>
  <c r="E32" i="23"/>
  <c r="O32" i="23"/>
  <c r="N31" i="23"/>
  <c r="M31" i="23"/>
  <c r="L31" i="23"/>
  <c r="K31" i="23"/>
  <c r="J31" i="23"/>
  <c r="I31" i="23"/>
  <c r="H31" i="23"/>
  <c r="G31" i="23"/>
  <c r="F31" i="23"/>
  <c r="E31" i="23"/>
  <c r="O31" i="23"/>
  <c r="O28" i="23"/>
  <c r="O27" i="23"/>
  <c r="O26" i="23"/>
  <c r="B26" i="23"/>
  <c r="O25" i="23"/>
  <c r="O24" i="23"/>
  <c r="N23" i="23"/>
  <c r="M23" i="23"/>
  <c r="L23" i="23"/>
  <c r="K23" i="23"/>
  <c r="J23" i="23"/>
  <c r="I23" i="23"/>
  <c r="H23" i="23"/>
  <c r="G23" i="23"/>
  <c r="F23" i="23"/>
  <c r="E23" i="23"/>
  <c r="O23" i="23"/>
  <c r="O19" i="23"/>
  <c r="O18" i="23"/>
  <c r="O17" i="23"/>
  <c r="O16" i="23"/>
  <c r="O15" i="23"/>
  <c r="O14" i="23"/>
  <c r="O13" i="23"/>
  <c r="O12" i="23"/>
  <c r="O11" i="23"/>
  <c r="O10" i="23"/>
  <c r="O9" i="23"/>
  <c r="O8" i="23"/>
  <c r="N2" i="23"/>
  <c r="M2" i="23"/>
  <c r="L2" i="23"/>
  <c r="K2" i="23"/>
  <c r="J2" i="23"/>
  <c r="I2" i="23"/>
  <c r="H2" i="23"/>
  <c r="G2" i="23"/>
  <c r="F2" i="23"/>
  <c r="E2" i="23"/>
  <c r="P118" i="83"/>
  <c r="O118" i="83"/>
  <c r="D116" i="83"/>
  <c r="P105" i="83"/>
  <c r="O105" i="83"/>
  <c r="D57" i="83"/>
  <c r="P55" i="83"/>
  <c r="O55" i="83"/>
  <c r="D52" i="83"/>
  <c r="D51" i="83"/>
  <c r="D50" i="83"/>
  <c r="D49" i="83"/>
  <c r="D48" i="83"/>
  <c r="D47" i="83"/>
  <c r="D45" i="83"/>
  <c r="D44" i="83"/>
  <c r="P42" i="83"/>
  <c r="O42" i="83"/>
  <c r="N2" i="83"/>
  <c r="M2" i="83"/>
  <c r="L2" i="83"/>
  <c r="K2" i="83"/>
  <c r="J2" i="83"/>
  <c r="I2" i="83"/>
  <c r="H2" i="83"/>
  <c r="G2" i="83"/>
  <c r="F2" i="83"/>
  <c r="E2" i="83"/>
  <c r="D254" i="81"/>
  <c r="C254" i="81" s="1"/>
  <c r="D253" i="81"/>
  <c r="C253" i="81" s="1"/>
  <c r="D252" i="81"/>
  <c r="C252" i="81" s="1"/>
  <c r="D251" i="81"/>
  <c r="C251" i="81" s="1"/>
  <c r="D250" i="81"/>
  <c r="C250" i="81" s="1"/>
  <c r="D249" i="81"/>
  <c r="C249" i="81" s="1"/>
  <c r="D248" i="81"/>
  <c r="C248" i="81" s="1"/>
  <c r="D247" i="81"/>
  <c r="C247" i="81" s="1"/>
  <c r="D246" i="81"/>
  <c r="C246" i="81" s="1"/>
  <c r="D245" i="81"/>
  <c r="C245" i="81" s="1"/>
  <c r="D244" i="81"/>
  <c r="C244" i="81" s="1"/>
  <c r="D243" i="81"/>
  <c r="C243" i="81" s="1"/>
  <c r="C42" i="81"/>
  <c r="C41" i="81"/>
  <c r="C40" i="81"/>
  <c r="C39" i="81"/>
  <c r="C38" i="81"/>
  <c r="C37" i="81"/>
  <c r="C36" i="81"/>
  <c r="C35" i="81"/>
  <c r="C34" i="81"/>
  <c r="C33" i="81"/>
  <c r="C32" i="81"/>
  <c r="C31" i="81"/>
  <c r="C30" i="81"/>
  <c r="C29" i="81"/>
  <c r="C28" i="81"/>
  <c r="C27" i="81"/>
  <c r="C26" i="81"/>
  <c r="C25" i="81"/>
  <c r="C24" i="81"/>
  <c r="C23" i="81"/>
  <c r="C22" i="81"/>
  <c r="N2" i="81"/>
  <c r="M2" i="81"/>
  <c r="L2" i="81"/>
  <c r="K2" i="81"/>
  <c r="J2" i="81"/>
  <c r="I2" i="81"/>
  <c r="H2" i="81"/>
  <c r="G2" i="81"/>
  <c r="F2" i="81"/>
  <c r="E2" i="81"/>
  <c r="D309" i="46"/>
  <c r="D303" i="46"/>
  <c r="D302" i="46"/>
  <c r="D297" i="46"/>
  <c r="D295" i="46"/>
  <c r="D289" i="46"/>
  <c r="D287" i="46"/>
  <c r="D281" i="46"/>
  <c r="D277" i="46"/>
  <c r="D275" i="46"/>
  <c r="C198" i="46"/>
  <c r="N130" i="46"/>
  <c r="M130" i="46"/>
  <c r="L130" i="46"/>
  <c r="K130" i="46"/>
  <c r="J130" i="46"/>
  <c r="I130" i="46"/>
  <c r="H130" i="46"/>
  <c r="G130" i="46"/>
  <c r="F130" i="46"/>
  <c r="E130" i="46"/>
  <c r="E340" i="45" s="1"/>
  <c r="C120" i="46"/>
  <c r="N102" i="46"/>
  <c r="M102" i="46"/>
  <c r="L102" i="46"/>
  <c r="K102" i="46"/>
  <c r="J102" i="46"/>
  <c r="I102" i="46"/>
  <c r="H102" i="46"/>
  <c r="G102" i="46"/>
  <c r="F102" i="46"/>
  <c r="E102" i="46"/>
  <c r="E281" i="45" s="1"/>
  <c r="C92" i="46"/>
  <c r="N75" i="46"/>
  <c r="M75" i="46"/>
  <c r="L75" i="46"/>
  <c r="K75" i="46"/>
  <c r="J75" i="46"/>
  <c r="I75" i="46"/>
  <c r="H75" i="46"/>
  <c r="G75" i="46"/>
  <c r="F75" i="46"/>
  <c r="E75" i="46"/>
  <c r="E223" i="45" s="1"/>
  <c r="C65" i="46"/>
  <c r="N46" i="46"/>
  <c r="M46" i="46"/>
  <c r="L46" i="46"/>
  <c r="K46" i="46"/>
  <c r="J46" i="46"/>
  <c r="I46" i="46"/>
  <c r="H46" i="46"/>
  <c r="G46" i="46"/>
  <c r="F46" i="46"/>
  <c r="E46" i="46"/>
  <c r="E156" i="45" s="1"/>
  <c r="C35" i="46"/>
  <c r="N17" i="46"/>
  <c r="M17" i="46"/>
  <c r="L17" i="46"/>
  <c r="K17" i="46"/>
  <c r="J17" i="46"/>
  <c r="I17" i="46"/>
  <c r="H17" i="46"/>
  <c r="G17" i="46"/>
  <c r="F17" i="46"/>
  <c r="E17" i="46"/>
  <c r="C6" i="46"/>
  <c r="N2" i="46"/>
  <c r="M2" i="46"/>
  <c r="L2" i="46"/>
  <c r="K2" i="46"/>
  <c r="J2" i="46"/>
  <c r="I2" i="46"/>
  <c r="H2" i="46"/>
  <c r="G2" i="46"/>
  <c r="F2" i="46"/>
  <c r="E2" i="46"/>
  <c r="C188" i="55"/>
  <c r="C187" i="55"/>
  <c r="C186" i="55"/>
  <c r="C185" i="55"/>
  <c r="C184" i="55"/>
  <c r="C183" i="55"/>
  <c r="C182" i="55"/>
  <c r="C181" i="55"/>
  <c r="C180" i="55"/>
  <c r="C179" i="55"/>
  <c r="C178" i="55"/>
  <c r="C177" i="55"/>
  <c r="C176" i="55"/>
  <c r="C175" i="55"/>
  <c r="C174" i="55"/>
  <c r="C173" i="55"/>
  <c r="C172" i="55"/>
  <c r="C171" i="55"/>
  <c r="C170" i="55"/>
  <c r="C169" i="55"/>
  <c r="C165" i="55"/>
  <c r="C164" i="55"/>
  <c r="C163" i="55"/>
  <c r="C162" i="55"/>
  <c r="C161" i="55"/>
  <c r="C160" i="55"/>
  <c r="C159" i="55"/>
  <c r="C158" i="55"/>
  <c r="C157" i="55"/>
  <c r="C156" i="55"/>
  <c r="C154" i="55"/>
  <c r="C153" i="55"/>
  <c r="C152" i="55"/>
  <c r="C151" i="55"/>
  <c r="C150" i="55"/>
  <c r="C149" i="55"/>
  <c r="C148" i="55"/>
  <c r="C147" i="55"/>
  <c r="C146" i="55"/>
  <c r="C145" i="55"/>
  <c r="N141" i="55"/>
  <c r="M141" i="55"/>
  <c r="L141" i="55"/>
  <c r="K141" i="55"/>
  <c r="J141" i="55"/>
  <c r="I141" i="55"/>
  <c r="H141" i="55"/>
  <c r="G141" i="55"/>
  <c r="F141" i="55"/>
  <c r="E141" i="55"/>
  <c r="C141" i="55"/>
  <c r="N140" i="55"/>
  <c r="M140" i="55"/>
  <c r="L140" i="55"/>
  <c r="K140" i="55"/>
  <c r="J140" i="55"/>
  <c r="I140" i="55"/>
  <c r="H140" i="55"/>
  <c r="G140" i="55"/>
  <c r="F140" i="55"/>
  <c r="E140" i="55"/>
  <c r="C140" i="55"/>
  <c r="N139" i="55"/>
  <c r="M139" i="55"/>
  <c r="L139" i="55"/>
  <c r="K139" i="55"/>
  <c r="J139" i="55"/>
  <c r="I139" i="55"/>
  <c r="H139" i="55"/>
  <c r="G139" i="55"/>
  <c r="F139" i="55"/>
  <c r="E139" i="55"/>
  <c r="C139" i="55"/>
  <c r="N138" i="55"/>
  <c r="M138" i="55"/>
  <c r="L138" i="55"/>
  <c r="K138" i="55"/>
  <c r="J138" i="55"/>
  <c r="I138" i="55"/>
  <c r="H138" i="55"/>
  <c r="G138" i="55"/>
  <c r="F138" i="55"/>
  <c r="E138" i="55"/>
  <c r="C138" i="55"/>
  <c r="N137" i="55"/>
  <c r="M137" i="55"/>
  <c r="L137" i="55"/>
  <c r="K137" i="55"/>
  <c r="J137" i="55"/>
  <c r="I137" i="55"/>
  <c r="H137" i="55"/>
  <c r="G137" i="55"/>
  <c r="F137" i="55"/>
  <c r="E137" i="55"/>
  <c r="C137" i="55"/>
  <c r="N136" i="55"/>
  <c r="M136" i="55"/>
  <c r="L136" i="55"/>
  <c r="K136" i="55"/>
  <c r="J136" i="55"/>
  <c r="I136" i="55"/>
  <c r="H136" i="55"/>
  <c r="G136" i="55"/>
  <c r="F136" i="55"/>
  <c r="E136" i="55"/>
  <c r="C136" i="55"/>
  <c r="N135" i="55"/>
  <c r="M135" i="55"/>
  <c r="L135" i="55"/>
  <c r="K135" i="55"/>
  <c r="J135" i="55"/>
  <c r="I135" i="55"/>
  <c r="H135" i="55"/>
  <c r="G135" i="55"/>
  <c r="F135" i="55"/>
  <c r="E135" i="55"/>
  <c r="C135" i="55"/>
  <c r="N134" i="55"/>
  <c r="M134" i="55"/>
  <c r="L134" i="55"/>
  <c r="K134" i="55"/>
  <c r="J134" i="55"/>
  <c r="I134" i="55"/>
  <c r="H134" i="55"/>
  <c r="G134" i="55"/>
  <c r="F134" i="55"/>
  <c r="E134" i="55"/>
  <c r="C134" i="55"/>
  <c r="N133" i="55"/>
  <c r="M133" i="55"/>
  <c r="L133" i="55"/>
  <c r="K133" i="55"/>
  <c r="J133" i="55"/>
  <c r="I133" i="55"/>
  <c r="H133" i="55"/>
  <c r="G133" i="55"/>
  <c r="F133" i="55"/>
  <c r="E133" i="55"/>
  <c r="C133" i="55"/>
  <c r="N132" i="55"/>
  <c r="M132" i="55"/>
  <c r="L132" i="55"/>
  <c r="K132" i="55"/>
  <c r="J132" i="55"/>
  <c r="I132" i="55"/>
  <c r="H132" i="55"/>
  <c r="G132" i="55"/>
  <c r="F132" i="55"/>
  <c r="E132" i="55"/>
  <c r="C132" i="55"/>
  <c r="C128" i="55"/>
  <c r="N126" i="55"/>
  <c r="M126" i="55"/>
  <c r="L126" i="55"/>
  <c r="K126" i="55"/>
  <c r="J126" i="55"/>
  <c r="I126" i="55"/>
  <c r="H126" i="55"/>
  <c r="G126" i="55"/>
  <c r="F126" i="55"/>
  <c r="E126" i="55"/>
  <c r="N125" i="55"/>
  <c r="N107" i="55" s="1"/>
  <c r="M125" i="55"/>
  <c r="M107" i="55" s="1"/>
  <c r="N124" i="55"/>
  <c r="N106" i="55" s="1"/>
  <c r="M124" i="55"/>
  <c r="M106" i="55" s="1"/>
  <c r="L124" i="55"/>
  <c r="L106" i="55" s="1"/>
  <c r="K124" i="55"/>
  <c r="K106" i="55" s="1"/>
  <c r="J124" i="55"/>
  <c r="J106" i="55" s="1"/>
  <c r="I124" i="55"/>
  <c r="I106" i="55" s="1"/>
  <c r="H124" i="55"/>
  <c r="H106" i="55" s="1"/>
  <c r="G124" i="55"/>
  <c r="G106" i="55" s="1"/>
  <c r="F124" i="55"/>
  <c r="F106" i="55" s="1"/>
  <c r="E124" i="55"/>
  <c r="E106" i="55" s="1"/>
  <c r="D124" i="55"/>
  <c r="C124" i="55"/>
  <c r="N123" i="55"/>
  <c r="N105" i="55" s="1"/>
  <c r="M123" i="55"/>
  <c r="M105" i="55" s="1"/>
  <c r="L123" i="55"/>
  <c r="L105" i="55" s="1"/>
  <c r="K123" i="55"/>
  <c r="K105" i="55" s="1"/>
  <c r="J123" i="55"/>
  <c r="J105" i="55" s="1"/>
  <c r="I123" i="55"/>
  <c r="I105" i="55" s="1"/>
  <c r="H123" i="55"/>
  <c r="H105" i="55" s="1"/>
  <c r="G123" i="55"/>
  <c r="G105" i="55" s="1"/>
  <c r="F123" i="55"/>
  <c r="F105" i="55" s="1"/>
  <c r="E123" i="55"/>
  <c r="E105" i="55" s="1"/>
  <c r="D123" i="55"/>
  <c r="C123" i="55"/>
  <c r="D105" i="55" s="1"/>
  <c r="N122" i="55"/>
  <c r="N104" i="55" s="1"/>
  <c r="M122" i="55"/>
  <c r="M104" i="55" s="1"/>
  <c r="L122" i="55"/>
  <c r="L104" i="55" s="1"/>
  <c r="K122" i="55"/>
  <c r="K104" i="55" s="1"/>
  <c r="J122" i="55"/>
  <c r="J104" i="55" s="1"/>
  <c r="I122" i="55"/>
  <c r="I104" i="55" s="1"/>
  <c r="H122" i="55"/>
  <c r="H104" i="55" s="1"/>
  <c r="G122" i="55"/>
  <c r="G104" i="55" s="1"/>
  <c r="F122" i="55"/>
  <c r="E122" i="55"/>
  <c r="E104" i="55" s="1"/>
  <c r="D122" i="55"/>
  <c r="C122" i="55"/>
  <c r="D104" i="55" s="1"/>
  <c r="N121" i="55"/>
  <c r="N103" i="55" s="1"/>
  <c r="M121" i="55"/>
  <c r="M103" i="55" s="1"/>
  <c r="L121" i="55"/>
  <c r="L103" i="55" s="1"/>
  <c r="K121" i="55"/>
  <c r="K103" i="55" s="1"/>
  <c r="J121" i="55"/>
  <c r="J103" i="55" s="1"/>
  <c r="I121" i="55"/>
  <c r="I103" i="55" s="1"/>
  <c r="H121" i="55"/>
  <c r="H103" i="55" s="1"/>
  <c r="G121" i="55"/>
  <c r="G103" i="55" s="1"/>
  <c r="F121" i="55"/>
  <c r="F103" i="55" s="1"/>
  <c r="E121" i="55"/>
  <c r="E103" i="55" s="1"/>
  <c r="D121" i="55"/>
  <c r="C121" i="55"/>
  <c r="D103" i="55" s="1"/>
  <c r="N120" i="55"/>
  <c r="N102" i="55" s="1"/>
  <c r="M120" i="55"/>
  <c r="M102" i="55" s="1"/>
  <c r="L120" i="55"/>
  <c r="L102" i="55" s="1"/>
  <c r="K120" i="55"/>
  <c r="K102" i="55" s="1"/>
  <c r="J120" i="55"/>
  <c r="J102" i="55" s="1"/>
  <c r="I120" i="55"/>
  <c r="I102" i="55" s="1"/>
  <c r="H120" i="55"/>
  <c r="H102" i="55" s="1"/>
  <c r="G120" i="55"/>
  <c r="G102" i="55" s="1"/>
  <c r="F120" i="55"/>
  <c r="F102" i="55" s="1"/>
  <c r="E120" i="55"/>
  <c r="E102" i="55" s="1"/>
  <c r="D120" i="55"/>
  <c r="C120" i="55"/>
  <c r="D102" i="55" s="1"/>
  <c r="N119" i="55"/>
  <c r="N101" i="55" s="1"/>
  <c r="M119" i="55"/>
  <c r="M101" i="55" s="1"/>
  <c r="L119" i="55"/>
  <c r="L101" i="55" s="1"/>
  <c r="K119" i="55"/>
  <c r="K101" i="55" s="1"/>
  <c r="J119" i="55"/>
  <c r="J101" i="55" s="1"/>
  <c r="I119" i="55"/>
  <c r="I101" i="55" s="1"/>
  <c r="H119" i="55"/>
  <c r="H101" i="55" s="1"/>
  <c r="G119" i="55"/>
  <c r="G101" i="55" s="1"/>
  <c r="F119" i="55"/>
  <c r="F101" i="55" s="1"/>
  <c r="E119" i="55"/>
  <c r="E101" i="55" s="1"/>
  <c r="D119" i="55"/>
  <c r="C119" i="55"/>
  <c r="D101" i="55" s="1"/>
  <c r="N118" i="55"/>
  <c r="N100" i="55" s="1"/>
  <c r="M118" i="55"/>
  <c r="M100" i="55" s="1"/>
  <c r="L118" i="55"/>
  <c r="L100" i="55" s="1"/>
  <c r="K118" i="55"/>
  <c r="K100" i="55" s="1"/>
  <c r="J118" i="55"/>
  <c r="J100" i="55" s="1"/>
  <c r="I118" i="55"/>
  <c r="I100" i="55" s="1"/>
  <c r="H118" i="55"/>
  <c r="H100" i="55" s="1"/>
  <c r="G118" i="55"/>
  <c r="G100" i="55" s="1"/>
  <c r="F118" i="55"/>
  <c r="F100" i="55" s="1"/>
  <c r="E118" i="55"/>
  <c r="E100" i="55" s="1"/>
  <c r="D118" i="55"/>
  <c r="C118" i="55"/>
  <c r="D100" i="55" s="1"/>
  <c r="N117" i="55"/>
  <c r="N99" i="55" s="1"/>
  <c r="M117" i="55"/>
  <c r="M99" i="55" s="1"/>
  <c r="L117" i="55"/>
  <c r="L99" i="55" s="1"/>
  <c r="K117" i="55"/>
  <c r="K99" i="55" s="1"/>
  <c r="J117" i="55"/>
  <c r="J99" i="55" s="1"/>
  <c r="I117" i="55"/>
  <c r="I99" i="55" s="1"/>
  <c r="H117" i="55"/>
  <c r="H99" i="55" s="1"/>
  <c r="G117" i="55"/>
  <c r="G99" i="55" s="1"/>
  <c r="F117" i="55"/>
  <c r="F99" i="55" s="1"/>
  <c r="E117" i="55"/>
  <c r="E99" i="55" s="1"/>
  <c r="D117" i="55"/>
  <c r="C117" i="55"/>
  <c r="D99" i="55" s="1"/>
  <c r="C116" i="55"/>
  <c r="D98" i="55" s="1"/>
  <c r="D115" i="55"/>
  <c r="C115" i="55"/>
  <c r="D97" i="55" s="1"/>
  <c r="C114" i="55"/>
  <c r="D108" i="55"/>
  <c r="D107" i="55"/>
  <c r="D106" i="55"/>
  <c r="F104" i="55"/>
  <c r="C92" i="55"/>
  <c r="N78" i="55"/>
  <c r="M78" i="55"/>
  <c r="L78" i="55"/>
  <c r="K78" i="55"/>
  <c r="J78" i="55"/>
  <c r="I78" i="55"/>
  <c r="I154" i="55" s="1"/>
  <c r="H78" i="55"/>
  <c r="G78" i="55"/>
  <c r="G154" i="55" s="1"/>
  <c r="F78" i="55"/>
  <c r="E78" i="55"/>
  <c r="N73" i="55"/>
  <c r="M73" i="55"/>
  <c r="L73" i="55"/>
  <c r="K73" i="55"/>
  <c r="J73" i="55"/>
  <c r="I73" i="55"/>
  <c r="H73" i="55"/>
  <c r="G73" i="55"/>
  <c r="F73" i="55"/>
  <c r="E73" i="55"/>
  <c r="E153" i="55" s="1"/>
  <c r="N68" i="55"/>
  <c r="M68" i="55"/>
  <c r="M152" i="55" s="1"/>
  <c r="L68" i="55"/>
  <c r="K68" i="55"/>
  <c r="J68" i="55"/>
  <c r="I68" i="55"/>
  <c r="H68" i="55"/>
  <c r="G68" i="55"/>
  <c r="I152" i="55" s="1"/>
  <c r="F68" i="55"/>
  <c r="E68" i="55"/>
  <c r="N63" i="55"/>
  <c r="M63" i="55"/>
  <c r="L63" i="55"/>
  <c r="K63" i="55"/>
  <c r="K151" i="55" s="1"/>
  <c r="J63" i="55"/>
  <c r="I63" i="55"/>
  <c r="H63" i="55"/>
  <c r="G63" i="55"/>
  <c r="F63" i="55"/>
  <c r="E63" i="55"/>
  <c r="G151" i="55" s="1"/>
  <c r="N58" i="55"/>
  <c r="M58" i="55"/>
  <c r="M150" i="55" s="1"/>
  <c r="L58" i="55"/>
  <c r="K58" i="55"/>
  <c r="J58" i="55"/>
  <c r="I58" i="55"/>
  <c r="I150" i="55" s="1"/>
  <c r="H58" i="55"/>
  <c r="G58" i="55"/>
  <c r="G150" i="55" s="1"/>
  <c r="F58" i="55"/>
  <c r="E58" i="55"/>
  <c r="N53" i="55"/>
  <c r="M53" i="55"/>
  <c r="L53" i="55"/>
  <c r="K53" i="55"/>
  <c r="K149" i="55" s="1"/>
  <c r="J53" i="55"/>
  <c r="I53" i="55"/>
  <c r="H53" i="55"/>
  <c r="G53" i="55"/>
  <c r="G149" i="55" s="1"/>
  <c r="F53" i="55"/>
  <c r="E53" i="55"/>
  <c r="E149" i="55" s="1"/>
  <c r="N48" i="55"/>
  <c r="M48" i="55"/>
  <c r="M148" i="55" s="1"/>
  <c r="L48" i="55"/>
  <c r="K48" i="55"/>
  <c r="J48" i="55"/>
  <c r="I48" i="55"/>
  <c r="I148" i="55" s="1"/>
  <c r="H48" i="55"/>
  <c r="G48" i="55"/>
  <c r="F48" i="55"/>
  <c r="E48" i="55"/>
  <c r="E148" i="55" s="1"/>
  <c r="N43" i="55"/>
  <c r="M43" i="55"/>
  <c r="L43" i="55"/>
  <c r="K43" i="55"/>
  <c r="K147" i="55" s="1"/>
  <c r="J43" i="55"/>
  <c r="I43" i="55"/>
  <c r="H43" i="55"/>
  <c r="G43" i="55"/>
  <c r="F43" i="55"/>
  <c r="E43" i="55"/>
  <c r="N33" i="55"/>
  <c r="M33" i="55"/>
  <c r="L33" i="55"/>
  <c r="K33" i="55"/>
  <c r="J33" i="55"/>
  <c r="I33" i="55"/>
  <c r="H33" i="55"/>
  <c r="G33" i="55"/>
  <c r="G145" i="55" s="1"/>
  <c r="F33" i="55"/>
  <c r="E33" i="55"/>
  <c r="N27" i="55"/>
  <c r="N114" i="55" s="1"/>
  <c r="M27" i="55"/>
  <c r="M114" i="55" s="1"/>
  <c r="L27" i="55"/>
  <c r="L114" i="55" s="1"/>
  <c r="K27" i="55"/>
  <c r="K114" i="55" s="1"/>
  <c r="J27" i="55"/>
  <c r="J114" i="55" s="1"/>
  <c r="I27" i="55"/>
  <c r="I114" i="55" s="1"/>
  <c r="H27" i="55"/>
  <c r="H114" i="55" s="1"/>
  <c r="G27" i="55"/>
  <c r="G114" i="55" s="1"/>
  <c r="F27" i="55"/>
  <c r="F114" i="55" s="1"/>
  <c r="E27" i="55"/>
  <c r="E114" i="55" s="1"/>
  <c r="C27" i="55"/>
  <c r="D22" i="55"/>
  <c r="D20" i="55"/>
  <c r="J188" i="55" s="1"/>
  <c r="N2" i="55"/>
  <c r="M2" i="55"/>
  <c r="L2" i="55"/>
  <c r="K2" i="55"/>
  <c r="J2" i="55"/>
  <c r="I2" i="55"/>
  <c r="H2" i="55"/>
  <c r="G2" i="55"/>
  <c r="F2" i="55"/>
  <c r="E2" i="55"/>
  <c r="C188" i="54"/>
  <c r="C187" i="54"/>
  <c r="C186" i="54"/>
  <c r="C185" i="54"/>
  <c r="C184" i="54"/>
  <c r="C183" i="54"/>
  <c r="C182" i="54"/>
  <c r="C181" i="54"/>
  <c r="C180" i="54"/>
  <c r="C179" i="54"/>
  <c r="C178" i="54"/>
  <c r="C177" i="54"/>
  <c r="C176" i="54"/>
  <c r="C175" i="54"/>
  <c r="C174" i="54"/>
  <c r="C173" i="54"/>
  <c r="C172" i="54"/>
  <c r="C171" i="54"/>
  <c r="C170" i="54"/>
  <c r="C169" i="54"/>
  <c r="C165" i="54"/>
  <c r="C164" i="54"/>
  <c r="C163" i="54"/>
  <c r="C162" i="54"/>
  <c r="C161" i="54"/>
  <c r="C160" i="54"/>
  <c r="C159" i="54"/>
  <c r="C158" i="54"/>
  <c r="C157" i="54"/>
  <c r="C156" i="54"/>
  <c r="C154" i="54"/>
  <c r="C153" i="54"/>
  <c r="C152" i="54"/>
  <c r="C151" i="54"/>
  <c r="C150" i="54"/>
  <c r="C149" i="54"/>
  <c r="C148" i="54"/>
  <c r="C147" i="54"/>
  <c r="C146" i="54"/>
  <c r="C145" i="54"/>
  <c r="N141" i="54"/>
  <c r="M141" i="54"/>
  <c r="L141" i="54"/>
  <c r="K141" i="54"/>
  <c r="J141" i="54"/>
  <c r="I141" i="54"/>
  <c r="H141" i="54"/>
  <c r="G141" i="54"/>
  <c r="F141" i="54"/>
  <c r="E141" i="54"/>
  <c r="C141" i="54"/>
  <c r="N140" i="54"/>
  <c r="M140" i="54"/>
  <c r="L140" i="54"/>
  <c r="K140" i="54"/>
  <c r="J140" i="54"/>
  <c r="I140" i="54"/>
  <c r="H140" i="54"/>
  <c r="G140" i="54"/>
  <c r="F140" i="54"/>
  <c r="E140" i="54"/>
  <c r="C140" i="54"/>
  <c r="N139" i="54"/>
  <c r="M139" i="54"/>
  <c r="L139" i="54"/>
  <c r="K139" i="54"/>
  <c r="J139" i="54"/>
  <c r="I139" i="54"/>
  <c r="H139" i="54"/>
  <c r="G139" i="54"/>
  <c r="F139" i="54"/>
  <c r="E139" i="54"/>
  <c r="C139" i="54"/>
  <c r="N138" i="54"/>
  <c r="M138" i="54"/>
  <c r="L138" i="54"/>
  <c r="K138" i="54"/>
  <c r="J138" i="54"/>
  <c r="I138" i="54"/>
  <c r="H138" i="54"/>
  <c r="G138" i="54"/>
  <c r="F138" i="54"/>
  <c r="E138" i="54"/>
  <c r="C138" i="54"/>
  <c r="N137" i="54"/>
  <c r="M137" i="54"/>
  <c r="L137" i="54"/>
  <c r="K137" i="54"/>
  <c r="J137" i="54"/>
  <c r="I137" i="54"/>
  <c r="H137" i="54"/>
  <c r="G137" i="54"/>
  <c r="F137" i="54"/>
  <c r="E137" i="54"/>
  <c r="C137" i="54"/>
  <c r="N136" i="54"/>
  <c r="M136" i="54"/>
  <c r="L136" i="54"/>
  <c r="K136" i="54"/>
  <c r="J136" i="54"/>
  <c r="I136" i="54"/>
  <c r="H136" i="54"/>
  <c r="G136" i="54"/>
  <c r="F136" i="54"/>
  <c r="E136" i="54"/>
  <c r="C136" i="54"/>
  <c r="N135" i="54"/>
  <c r="M135" i="54"/>
  <c r="L135" i="54"/>
  <c r="K135" i="54"/>
  <c r="J135" i="54"/>
  <c r="I135" i="54"/>
  <c r="H135" i="54"/>
  <c r="G135" i="54"/>
  <c r="F135" i="54"/>
  <c r="E135" i="54"/>
  <c r="C135" i="54"/>
  <c r="N134" i="54"/>
  <c r="M134" i="54"/>
  <c r="L134" i="54"/>
  <c r="K134" i="54"/>
  <c r="J134" i="54"/>
  <c r="I134" i="54"/>
  <c r="H134" i="54"/>
  <c r="G134" i="54"/>
  <c r="F134" i="54"/>
  <c r="E134" i="54"/>
  <c r="C134" i="54"/>
  <c r="N133" i="54"/>
  <c r="M133" i="54"/>
  <c r="L133" i="54"/>
  <c r="K133" i="54"/>
  <c r="J133" i="54"/>
  <c r="I133" i="54"/>
  <c r="H133" i="54"/>
  <c r="G133" i="54"/>
  <c r="F133" i="54"/>
  <c r="E133" i="54"/>
  <c r="C133" i="54"/>
  <c r="N132" i="54"/>
  <c r="M132" i="54"/>
  <c r="L132" i="54"/>
  <c r="K132" i="54"/>
  <c r="J132" i="54"/>
  <c r="I132" i="54"/>
  <c r="H132" i="54"/>
  <c r="G132" i="54"/>
  <c r="F132" i="54"/>
  <c r="E132" i="54"/>
  <c r="C132" i="54"/>
  <c r="C128" i="54"/>
  <c r="N126" i="54"/>
  <c r="M126" i="54"/>
  <c r="L126" i="54"/>
  <c r="K126" i="54"/>
  <c r="J126" i="54"/>
  <c r="I126" i="54"/>
  <c r="H126" i="54"/>
  <c r="G126" i="54"/>
  <c r="F126" i="54"/>
  <c r="E126" i="54"/>
  <c r="N124" i="54"/>
  <c r="N106" i="54" s="1"/>
  <c r="M124" i="54"/>
  <c r="M106" i="54" s="1"/>
  <c r="L124" i="54"/>
  <c r="L106" i="54" s="1"/>
  <c r="K124" i="54"/>
  <c r="K106" i="54" s="1"/>
  <c r="J124" i="54"/>
  <c r="J106" i="54" s="1"/>
  <c r="I124" i="54"/>
  <c r="I106" i="54" s="1"/>
  <c r="H124" i="54"/>
  <c r="H106" i="54" s="1"/>
  <c r="G124" i="54"/>
  <c r="G106" i="54" s="1"/>
  <c r="F124" i="54"/>
  <c r="F106" i="54" s="1"/>
  <c r="E124" i="54"/>
  <c r="E106" i="54" s="1"/>
  <c r="D124" i="54"/>
  <c r="C124" i="54"/>
  <c r="N123" i="54"/>
  <c r="N105" i="54" s="1"/>
  <c r="M123" i="54"/>
  <c r="M105" i="54" s="1"/>
  <c r="L123" i="54"/>
  <c r="L105" i="54" s="1"/>
  <c r="K123" i="54"/>
  <c r="K105" i="54" s="1"/>
  <c r="J123" i="54"/>
  <c r="J105" i="54" s="1"/>
  <c r="I123" i="54"/>
  <c r="I105" i="54" s="1"/>
  <c r="H123" i="54"/>
  <c r="H105" i="54" s="1"/>
  <c r="G123" i="54"/>
  <c r="G105" i="54" s="1"/>
  <c r="F123" i="54"/>
  <c r="F105" i="54" s="1"/>
  <c r="E123" i="54"/>
  <c r="E105" i="54" s="1"/>
  <c r="D123" i="54"/>
  <c r="C123" i="54"/>
  <c r="N122" i="54"/>
  <c r="N104" i="54" s="1"/>
  <c r="M122" i="54"/>
  <c r="M104" i="54" s="1"/>
  <c r="L122" i="54"/>
  <c r="L104" i="54" s="1"/>
  <c r="K122" i="54"/>
  <c r="K104" i="54" s="1"/>
  <c r="J122" i="54"/>
  <c r="J104" i="54" s="1"/>
  <c r="I122" i="54"/>
  <c r="I104" i="54" s="1"/>
  <c r="H122" i="54"/>
  <c r="H104" i="54" s="1"/>
  <c r="G122" i="54"/>
  <c r="G104" i="54" s="1"/>
  <c r="F122" i="54"/>
  <c r="F104" i="54" s="1"/>
  <c r="E122" i="54"/>
  <c r="E104" i="54" s="1"/>
  <c r="D122" i="54"/>
  <c r="C122" i="54"/>
  <c r="N121" i="54"/>
  <c r="N103" i="54" s="1"/>
  <c r="M121" i="54"/>
  <c r="M103" i="54" s="1"/>
  <c r="L121" i="54"/>
  <c r="L103" i="54" s="1"/>
  <c r="K121" i="54"/>
  <c r="K103" i="54" s="1"/>
  <c r="J121" i="54"/>
  <c r="J103" i="54" s="1"/>
  <c r="I121" i="54"/>
  <c r="I103" i="54" s="1"/>
  <c r="H121" i="54"/>
  <c r="H103" i="54" s="1"/>
  <c r="G121" i="54"/>
  <c r="G103" i="54" s="1"/>
  <c r="F121" i="54"/>
  <c r="F103" i="54" s="1"/>
  <c r="E121" i="54"/>
  <c r="E103" i="54" s="1"/>
  <c r="D121" i="54"/>
  <c r="C121" i="54"/>
  <c r="D120" i="54"/>
  <c r="C120" i="54"/>
  <c r="D119" i="54"/>
  <c r="C119" i="54"/>
  <c r="C118" i="54"/>
  <c r="C117" i="54"/>
  <c r="C116" i="54"/>
  <c r="C115" i="54"/>
  <c r="C114" i="54"/>
  <c r="D108" i="54"/>
  <c r="D107" i="54"/>
  <c r="D106" i="54"/>
  <c r="D105" i="54"/>
  <c r="D104" i="54"/>
  <c r="D103" i="54"/>
  <c r="D101" i="54"/>
  <c r="D100" i="54"/>
  <c r="D99" i="54"/>
  <c r="D98" i="54"/>
  <c r="D97" i="54"/>
  <c r="C92" i="54"/>
  <c r="N78" i="54"/>
  <c r="M78" i="54"/>
  <c r="L78" i="54"/>
  <c r="K78" i="54"/>
  <c r="J78" i="54"/>
  <c r="I78" i="54"/>
  <c r="H78" i="54"/>
  <c r="G78" i="54"/>
  <c r="F78" i="54"/>
  <c r="E78" i="54"/>
  <c r="N73" i="54"/>
  <c r="M73" i="54"/>
  <c r="L73" i="54"/>
  <c r="K73" i="54"/>
  <c r="J73" i="54"/>
  <c r="I73" i="54"/>
  <c r="H73" i="54"/>
  <c r="G73" i="54"/>
  <c r="F73" i="54"/>
  <c r="E73" i="54"/>
  <c r="N68" i="54"/>
  <c r="M68" i="54"/>
  <c r="L68" i="54"/>
  <c r="K68" i="54"/>
  <c r="J68" i="54"/>
  <c r="I68" i="54"/>
  <c r="H68" i="54"/>
  <c r="G68" i="54"/>
  <c r="F68" i="54"/>
  <c r="E68" i="54"/>
  <c r="N63" i="54"/>
  <c r="M63" i="54"/>
  <c r="L63" i="54"/>
  <c r="K63" i="54"/>
  <c r="J63" i="54"/>
  <c r="I63" i="54"/>
  <c r="H63" i="54"/>
  <c r="G63" i="54"/>
  <c r="F63" i="54"/>
  <c r="E63" i="54"/>
  <c r="N58" i="54"/>
  <c r="M58" i="54"/>
  <c r="L58" i="54"/>
  <c r="K58" i="54"/>
  <c r="J58" i="54"/>
  <c r="I58" i="54"/>
  <c r="H58" i="54"/>
  <c r="G58" i="54"/>
  <c r="F58" i="54"/>
  <c r="E58" i="54"/>
  <c r="N53" i="54"/>
  <c r="M53" i="54"/>
  <c r="L53" i="54"/>
  <c r="K53" i="54"/>
  <c r="J53" i="54"/>
  <c r="I53" i="54"/>
  <c r="H53" i="54"/>
  <c r="G53" i="54"/>
  <c r="F53" i="54"/>
  <c r="E53" i="54"/>
  <c r="P46" i="54"/>
  <c r="D118" i="54" s="1"/>
  <c r="P41" i="54"/>
  <c r="P36" i="54"/>
  <c r="D116" i="54" s="1"/>
  <c r="P31" i="54"/>
  <c r="N27" i="54"/>
  <c r="N114" i="54" s="1"/>
  <c r="M27" i="54"/>
  <c r="M114" i="54" s="1"/>
  <c r="L27" i="54"/>
  <c r="L114" i="54" s="1"/>
  <c r="K27" i="54"/>
  <c r="K114" i="54" s="1"/>
  <c r="J27" i="54"/>
  <c r="J114" i="54" s="1"/>
  <c r="I27" i="54"/>
  <c r="I114" i="54" s="1"/>
  <c r="H27" i="54"/>
  <c r="H114" i="54" s="1"/>
  <c r="G27" i="54"/>
  <c r="G114" i="54" s="1"/>
  <c r="F27" i="54"/>
  <c r="F114" i="54" s="1"/>
  <c r="E27" i="54"/>
  <c r="E114" i="54" s="1"/>
  <c r="C27" i="54"/>
  <c r="D22" i="54"/>
  <c r="D20" i="54"/>
  <c r="M188" i="54" s="1"/>
  <c r="N2" i="54"/>
  <c r="M2" i="54"/>
  <c r="L2" i="54"/>
  <c r="K2" i="54"/>
  <c r="J2" i="54"/>
  <c r="I2" i="54"/>
  <c r="H2" i="54"/>
  <c r="G2" i="54"/>
  <c r="F2" i="54"/>
  <c r="E2" i="54"/>
  <c r="N142" i="58"/>
  <c r="M142" i="58"/>
  <c r="L142" i="58"/>
  <c r="K142" i="58"/>
  <c r="J142" i="58"/>
  <c r="I142" i="58"/>
  <c r="H142" i="58"/>
  <c r="G142" i="58"/>
  <c r="F142" i="58"/>
  <c r="E142" i="58"/>
  <c r="C142" i="58"/>
  <c r="N141" i="58"/>
  <c r="M141" i="58"/>
  <c r="L141" i="58"/>
  <c r="K141" i="58"/>
  <c r="J141" i="58"/>
  <c r="I141" i="58"/>
  <c r="H141" i="58"/>
  <c r="G141" i="58"/>
  <c r="F141" i="58"/>
  <c r="E141" i="58"/>
  <c r="C141" i="58"/>
  <c r="N140" i="58"/>
  <c r="M140" i="58"/>
  <c r="L140" i="58"/>
  <c r="K140" i="58"/>
  <c r="J140" i="58"/>
  <c r="I140" i="58"/>
  <c r="H140" i="58"/>
  <c r="G140" i="58"/>
  <c r="F140" i="58"/>
  <c r="E140" i="58"/>
  <c r="C140" i="58"/>
  <c r="N139" i="58"/>
  <c r="M139" i="58"/>
  <c r="L139" i="58"/>
  <c r="K139" i="58"/>
  <c r="J139" i="58"/>
  <c r="I139" i="58"/>
  <c r="H139" i="58"/>
  <c r="G139" i="58"/>
  <c r="F139" i="58"/>
  <c r="E139" i="58"/>
  <c r="C139" i="58"/>
  <c r="N138" i="58"/>
  <c r="M138" i="58"/>
  <c r="L138" i="58"/>
  <c r="K138" i="58"/>
  <c r="J138" i="58"/>
  <c r="I138" i="58"/>
  <c r="H138" i="58"/>
  <c r="G138" i="58"/>
  <c r="F138" i="58"/>
  <c r="E138" i="58"/>
  <c r="C138" i="58"/>
  <c r="N137" i="58"/>
  <c r="M137" i="58"/>
  <c r="L137" i="58"/>
  <c r="K137" i="58"/>
  <c r="J137" i="58"/>
  <c r="I137" i="58"/>
  <c r="H137" i="58"/>
  <c r="G137" i="58"/>
  <c r="F137" i="58"/>
  <c r="E137" i="58"/>
  <c r="C137" i="58"/>
  <c r="N136" i="58"/>
  <c r="M136" i="58"/>
  <c r="L136" i="58"/>
  <c r="K136" i="58"/>
  <c r="J136" i="58"/>
  <c r="I136" i="58"/>
  <c r="H136" i="58"/>
  <c r="G136" i="58"/>
  <c r="F136" i="58"/>
  <c r="E136" i="58"/>
  <c r="C136" i="58"/>
  <c r="N135" i="58"/>
  <c r="M135" i="58"/>
  <c r="L135" i="58"/>
  <c r="K135" i="58"/>
  <c r="J135" i="58"/>
  <c r="I135" i="58"/>
  <c r="H135" i="58"/>
  <c r="G135" i="58"/>
  <c r="F135" i="58"/>
  <c r="E135" i="58"/>
  <c r="C135" i="58"/>
  <c r="N134" i="58"/>
  <c r="M134" i="58"/>
  <c r="L134" i="58"/>
  <c r="K134" i="58"/>
  <c r="J134" i="58"/>
  <c r="I134" i="58"/>
  <c r="H134" i="58"/>
  <c r="G134" i="58"/>
  <c r="F134" i="58"/>
  <c r="E134" i="58"/>
  <c r="C134" i="58"/>
  <c r="N133" i="58"/>
  <c r="M133" i="58"/>
  <c r="L133" i="58"/>
  <c r="K133" i="58"/>
  <c r="J133" i="58"/>
  <c r="I133" i="58"/>
  <c r="H133" i="58"/>
  <c r="G133" i="58"/>
  <c r="F133" i="58"/>
  <c r="E133" i="58"/>
  <c r="C133" i="58"/>
  <c r="C129" i="58"/>
  <c r="N107" i="58"/>
  <c r="M107" i="58"/>
  <c r="L107" i="58"/>
  <c r="K107" i="58"/>
  <c r="J107" i="58"/>
  <c r="I107" i="58"/>
  <c r="H107" i="58"/>
  <c r="G107" i="58"/>
  <c r="F107" i="58"/>
  <c r="E107" i="58"/>
  <c r="D125" i="58"/>
  <c r="C125" i="58"/>
  <c r="D107" i="58" s="1"/>
  <c r="N106" i="58"/>
  <c r="M106" i="58"/>
  <c r="L106" i="58"/>
  <c r="K106" i="58"/>
  <c r="J106" i="58"/>
  <c r="I106" i="58"/>
  <c r="H106" i="58"/>
  <c r="G106" i="58"/>
  <c r="F106" i="58"/>
  <c r="E106" i="58"/>
  <c r="D124" i="58"/>
  <c r="C124" i="58"/>
  <c r="D106" i="58" s="1"/>
  <c r="N105" i="58"/>
  <c r="M105" i="58"/>
  <c r="L105" i="58"/>
  <c r="K105" i="58"/>
  <c r="J105" i="58"/>
  <c r="I105" i="58"/>
  <c r="H105" i="58"/>
  <c r="G105" i="58"/>
  <c r="F105" i="58"/>
  <c r="E105" i="58"/>
  <c r="D123" i="58"/>
  <c r="C123" i="58"/>
  <c r="D105" i="58" s="1"/>
  <c r="N104" i="58"/>
  <c r="M104" i="58"/>
  <c r="L104" i="58"/>
  <c r="K104" i="58"/>
  <c r="J104" i="58"/>
  <c r="I104" i="58"/>
  <c r="H104" i="58"/>
  <c r="G104" i="58"/>
  <c r="F104" i="58"/>
  <c r="E104" i="58"/>
  <c r="D122" i="58"/>
  <c r="C122" i="58"/>
  <c r="D104" i="58" s="1"/>
  <c r="D121" i="58"/>
  <c r="C121" i="58"/>
  <c r="D103" i="58" s="1"/>
  <c r="N102" i="58"/>
  <c r="M102" i="58"/>
  <c r="L102" i="58"/>
  <c r="K102" i="58"/>
  <c r="J102" i="58"/>
  <c r="I102" i="58"/>
  <c r="H102" i="58"/>
  <c r="G102" i="58"/>
  <c r="F102" i="58"/>
  <c r="E102" i="58"/>
  <c r="D120" i="58"/>
  <c r="C120" i="58"/>
  <c r="D102" i="58" s="1"/>
  <c r="N101" i="58"/>
  <c r="M101" i="58"/>
  <c r="L101" i="58"/>
  <c r="K101" i="58"/>
  <c r="J101" i="58"/>
  <c r="I101" i="58"/>
  <c r="H101" i="58"/>
  <c r="G101" i="58"/>
  <c r="F101" i="58"/>
  <c r="E101" i="58"/>
  <c r="D119" i="58"/>
  <c r="C119" i="58"/>
  <c r="D101" i="58" s="1"/>
  <c r="N100" i="58"/>
  <c r="M100" i="58"/>
  <c r="L100" i="58"/>
  <c r="K100" i="58"/>
  <c r="J100" i="58"/>
  <c r="I100" i="58"/>
  <c r="H100" i="58"/>
  <c r="G100" i="58"/>
  <c r="F100" i="58"/>
  <c r="E100" i="58"/>
  <c r="D118" i="58"/>
  <c r="C118" i="58"/>
  <c r="D100" i="58" s="1"/>
  <c r="D117" i="58"/>
  <c r="C117" i="58"/>
  <c r="D99" i="58" s="1"/>
  <c r="D116" i="58"/>
  <c r="C116" i="58"/>
  <c r="D98" i="58" s="1"/>
  <c r="C115" i="58"/>
  <c r="D109" i="58"/>
  <c r="D108" i="58"/>
  <c r="C93" i="58"/>
  <c r="N79" i="58"/>
  <c r="M79" i="58"/>
  <c r="L79" i="58"/>
  <c r="K79" i="58"/>
  <c r="J79" i="58"/>
  <c r="I79" i="58"/>
  <c r="H79" i="58"/>
  <c r="G79" i="58"/>
  <c r="G155" i="58" s="1"/>
  <c r="F79" i="58"/>
  <c r="E79" i="58"/>
  <c r="N74" i="58"/>
  <c r="M74" i="58"/>
  <c r="L74" i="58"/>
  <c r="K74" i="58"/>
  <c r="J74" i="58"/>
  <c r="I74" i="58"/>
  <c r="H74" i="58"/>
  <c r="G74" i="58"/>
  <c r="F74" i="58"/>
  <c r="E74" i="58"/>
  <c r="N69" i="58"/>
  <c r="M69" i="58"/>
  <c r="L69" i="58"/>
  <c r="K69" i="58"/>
  <c r="J69" i="58"/>
  <c r="I69" i="58"/>
  <c r="H69" i="58"/>
  <c r="G69" i="58"/>
  <c r="F69" i="58"/>
  <c r="E69" i="58"/>
  <c r="N64" i="58"/>
  <c r="M64" i="58"/>
  <c r="L64" i="58"/>
  <c r="K64" i="58"/>
  <c r="J64" i="58"/>
  <c r="I64" i="58"/>
  <c r="H64" i="58"/>
  <c r="G64" i="58"/>
  <c r="F64" i="58"/>
  <c r="E64" i="58"/>
  <c r="N59" i="58"/>
  <c r="M59" i="58"/>
  <c r="L59" i="58"/>
  <c r="K59" i="58"/>
  <c r="J59" i="58"/>
  <c r="I59" i="58"/>
  <c r="H59" i="58"/>
  <c r="G59" i="58"/>
  <c r="F59" i="58"/>
  <c r="E59" i="58"/>
  <c r="N54" i="58"/>
  <c r="M54" i="58"/>
  <c r="L54" i="58"/>
  <c r="K54" i="58"/>
  <c r="J54" i="58"/>
  <c r="I54" i="58"/>
  <c r="H54" i="58"/>
  <c r="G54" i="58"/>
  <c r="F54" i="58"/>
  <c r="E54" i="58"/>
  <c r="N49" i="58"/>
  <c r="M49" i="58"/>
  <c r="L49" i="58"/>
  <c r="K49" i="58"/>
  <c r="J49" i="58"/>
  <c r="I49" i="58"/>
  <c r="H49" i="58"/>
  <c r="G49" i="58"/>
  <c r="F49" i="58"/>
  <c r="E49" i="58"/>
  <c r="N44" i="58"/>
  <c r="M44" i="58"/>
  <c r="L44" i="58"/>
  <c r="K44" i="58"/>
  <c r="J44" i="58"/>
  <c r="I44" i="58"/>
  <c r="H44" i="58"/>
  <c r="G44" i="58"/>
  <c r="F44" i="58"/>
  <c r="E44" i="58"/>
  <c r="E37" i="58"/>
  <c r="N28" i="58"/>
  <c r="N115" i="58" s="1"/>
  <c r="M28" i="58"/>
  <c r="M115" i="58" s="1"/>
  <c r="L28" i="58"/>
  <c r="L115" i="58" s="1"/>
  <c r="K28" i="58"/>
  <c r="K115" i="58" s="1"/>
  <c r="J28" i="58"/>
  <c r="J115" i="58" s="1"/>
  <c r="I28" i="58"/>
  <c r="I115" i="58" s="1"/>
  <c r="H28" i="58"/>
  <c r="H115" i="58" s="1"/>
  <c r="G28" i="58"/>
  <c r="G115" i="58" s="1"/>
  <c r="F28" i="58"/>
  <c r="F115" i="58" s="1"/>
  <c r="E28" i="58"/>
  <c r="E115" i="58" s="1"/>
  <c r="C28" i="58"/>
  <c r="D23" i="58"/>
  <c r="D21" i="58"/>
  <c r="N2" i="58"/>
  <c r="M2" i="58"/>
  <c r="L2" i="58"/>
  <c r="K2" i="58"/>
  <c r="J2" i="58"/>
  <c r="I2" i="58"/>
  <c r="H2" i="58"/>
  <c r="G2" i="58"/>
  <c r="F2" i="58"/>
  <c r="E2" i="58"/>
  <c r="B301" i="77"/>
  <c r="B293" i="77"/>
  <c r="B265" i="77"/>
  <c r="B236" i="77"/>
  <c r="B111" i="77"/>
  <c r="B110" i="77"/>
  <c r="B21" i="77"/>
  <c r="B20" i="77"/>
  <c r="E2" i="77"/>
  <c r="E18" i="76"/>
  <c r="E7" i="76"/>
  <c r="E2" i="76"/>
  <c r="N82" i="64"/>
  <c r="M82" i="64"/>
  <c r="L82" i="64"/>
  <c r="K82" i="64"/>
  <c r="J82" i="64"/>
  <c r="I82" i="64"/>
  <c r="H82" i="64"/>
  <c r="G82" i="64"/>
  <c r="F82" i="64"/>
  <c r="E82" i="64"/>
  <c r="N66" i="64"/>
  <c r="M66" i="64"/>
  <c r="L66" i="64"/>
  <c r="K66" i="64"/>
  <c r="J66" i="64"/>
  <c r="I66" i="64"/>
  <c r="H66" i="64"/>
  <c r="G66" i="64"/>
  <c r="F66" i="64"/>
  <c r="E66" i="64"/>
  <c r="N59" i="64"/>
  <c r="M59" i="64"/>
  <c r="L59" i="64"/>
  <c r="K59" i="64"/>
  <c r="J59" i="64"/>
  <c r="I59" i="64"/>
  <c r="H59" i="64"/>
  <c r="G59" i="64"/>
  <c r="F59" i="64"/>
  <c r="E59" i="64"/>
  <c r="H43" i="64"/>
  <c r="H33" i="8" s="1"/>
  <c r="G43" i="64"/>
  <c r="G33" i="8" s="1"/>
  <c r="F43" i="64"/>
  <c r="E43" i="64"/>
  <c r="E33" i="8" s="1"/>
  <c r="E38" i="36" s="1"/>
  <c r="H41" i="64"/>
  <c r="G41" i="64"/>
  <c r="F41" i="64"/>
  <c r="E41" i="64"/>
  <c r="F27" i="64"/>
  <c r="G27" i="64" s="1"/>
  <c r="F4" i="64"/>
  <c r="N2" i="64"/>
  <c r="M2" i="64"/>
  <c r="L2" i="64"/>
  <c r="K2" i="64"/>
  <c r="J2" i="64"/>
  <c r="I2" i="64"/>
  <c r="H2" i="64"/>
  <c r="G2" i="64"/>
  <c r="F2" i="64"/>
  <c r="E2" i="64"/>
  <c r="E42" i="73"/>
  <c r="D42" i="73"/>
  <c r="E41" i="73"/>
  <c r="E40" i="73"/>
  <c r="E31" i="73"/>
  <c r="D31" i="73"/>
  <c r="E30" i="73"/>
  <c r="D30" i="73"/>
  <c r="E29" i="73"/>
  <c r="E20" i="73"/>
  <c r="D20" i="73"/>
  <c r="E19" i="73"/>
  <c r="E18" i="73"/>
  <c r="E17" i="73"/>
  <c r="E8" i="73"/>
  <c r="D8" i="73"/>
  <c r="E7" i="73"/>
  <c r="E2" i="73"/>
  <c r="E77" i="72"/>
  <c r="E83" i="72" s="1"/>
  <c r="E76" i="72"/>
  <c r="E82" i="72" s="1"/>
  <c r="E75" i="72"/>
  <c r="E81" i="72" s="1"/>
  <c r="E74" i="72"/>
  <c r="E80" i="72" s="1"/>
  <c r="E73" i="72"/>
  <c r="E79" i="72" s="1"/>
  <c r="E64" i="72"/>
  <c r="E60" i="72"/>
  <c r="E59" i="72"/>
  <c r="E50" i="72"/>
  <c r="E46" i="72"/>
  <c r="E45" i="72"/>
  <c r="D35" i="72"/>
  <c r="E34" i="72"/>
  <c r="E33" i="72"/>
  <c r="E25" i="72"/>
  <c r="D22" i="72"/>
  <c r="E21" i="72"/>
  <c r="E20" i="72"/>
  <c r="E11" i="72"/>
  <c r="E7" i="72"/>
  <c r="E6" i="72"/>
  <c r="E2" i="72"/>
  <c r="D98" i="68"/>
  <c r="D61" i="68"/>
  <c r="D60" i="68"/>
  <c r="D24" i="68"/>
  <c r="E19" i="68"/>
  <c r="E38" i="68" s="1"/>
  <c r="E2" i="68"/>
  <c r="E266" i="69"/>
  <c r="E259" i="69"/>
  <c r="E257" i="69"/>
  <c r="E254" i="69"/>
  <c r="E230" i="69"/>
  <c r="E228" i="69"/>
  <c r="E225" i="69"/>
  <c r="E187" i="69"/>
  <c r="E185" i="69"/>
  <c r="E182" i="69"/>
  <c r="E158" i="69"/>
  <c r="E156" i="69"/>
  <c r="E153" i="69"/>
  <c r="E122" i="69"/>
  <c r="E115" i="69"/>
  <c r="E113" i="69"/>
  <c r="E110" i="69"/>
  <c r="E86" i="69"/>
  <c r="E84" i="69"/>
  <c r="E81" i="69"/>
  <c r="E43" i="69"/>
  <c r="E41" i="69"/>
  <c r="E38" i="69"/>
  <c r="E14" i="69"/>
  <c r="E12" i="69"/>
  <c r="E9" i="69"/>
  <c r="E2" i="69"/>
  <c r="C353" i="45"/>
  <c r="E339" i="45"/>
  <c r="D335" i="45"/>
  <c r="D334" i="45"/>
  <c r="D323" i="45"/>
  <c r="D322" i="45"/>
  <c r="E318" i="45"/>
  <c r="D307" i="45"/>
  <c r="D306" i="45"/>
  <c r="E302" i="45"/>
  <c r="E280" i="45"/>
  <c r="D276" i="45"/>
  <c r="D275" i="45"/>
  <c r="D264" i="45"/>
  <c r="D263" i="45"/>
  <c r="E259" i="45"/>
  <c r="D248" i="45"/>
  <c r="D247" i="45"/>
  <c r="E243" i="45"/>
  <c r="E222" i="45"/>
  <c r="D218" i="45"/>
  <c r="D217" i="45"/>
  <c r="D199" i="45"/>
  <c r="E194" i="45"/>
  <c r="D183" i="45"/>
  <c r="D182" i="45"/>
  <c r="E178" i="45"/>
  <c r="E166" i="45"/>
  <c r="E155" i="45"/>
  <c r="D151" i="45"/>
  <c r="D150" i="45"/>
  <c r="D132" i="45"/>
  <c r="E127" i="45"/>
  <c r="D116" i="45"/>
  <c r="E111" i="45"/>
  <c r="E82" i="45"/>
  <c r="D78" i="45"/>
  <c r="D77" i="45"/>
  <c r="D59" i="45"/>
  <c r="D58" i="45"/>
  <c r="E54" i="45"/>
  <c r="D43" i="45"/>
  <c r="E38" i="45"/>
  <c r="E28" i="45"/>
  <c r="D8" i="45"/>
  <c r="E2" i="45"/>
  <c r="B315" i="59"/>
  <c r="B314" i="59"/>
  <c r="B313" i="59"/>
  <c r="B309" i="59"/>
  <c r="B303" i="59"/>
  <c r="B292" i="59"/>
  <c r="B287" i="59"/>
  <c r="B282" i="59"/>
  <c r="B277" i="59"/>
  <c r="B276" i="59"/>
  <c r="B272" i="59"/>
  <c r="B271" i="59"/>
  <c r="B267" i="59"/>
  <c r="B262" i="59"/>
  <c r="B257" i="59"/>
  <c r="B254" i="59"/>
  <c r="B253" i="59"/>
  <c r="B252" i="59"/>
  <c r="B250" i="59"/>
  <c r="B249" i="59"/>
  <c r="B248" i="59"/>
  <c r="B246" i="59"/>
  <c r="B245" i="59"/>
  <c r="B244" i="59"/>
  <c r="B241" i="59"/>
  <c r="B240" i="59"/>
  <c r="B234" i="59"/>
  <c r="B233" i="59"/>
  <c r="B232" i="59"/>
  <c r="B158" i="59"/>
  <c r="B156" i="59"/>
  <c r="B154" i="59"/>
  <c r="B152" i="59"/>
  <c r="B148" i="59"/>
  <c r="B146" i="59"/>
  <c r="B140" i="59"/>
  <c r="E227" i="59"/>
  <c r="E226" i="59"/>
  <c r="E223" i="59"/>
  <c r="E222" i="59"/>
  <c r="E219" i="59"/>
  <c r="E218" i="59"/>
  <c r="E215" i="59"/>
  <c r="E214" i="59"/>
  <c r="E211" i="59"/>
  <c r="E210" i="59"/>
  <c r="E207" i="59"/>
  <c r="E206" i="59"/>
  <c r="B204" i="59"/>
  <c r="E203" i="59"/>
  <c r="E202" i="59"/>
  <c r="B202" i="59"/>
  <c r="E197" i="59"/>
  <c r="E193" i="59"/>
  <c r="E189" i="59"/>
  <c r="B186" i="59"/>
  <c r="E185" i="59"/>
  <c r="E184" i="59"/>
  <c r="B184" i="59"/>
  <c r="E181" i="59"/>
  <c r="E180" i="59"/>
  <c r="E177" i="59"/>
  <c r="E176" i="59"/>
  <c r="E173" i="59"/>
  <c r="E172" i="59"/>
  <c r="E169" i="59"/>
  <c r="E168" i="59"/>
  <c r="B166" i="59"/>
  <c r="E165" i="59"/>
  <c r="E164" i="59"/>
  <c r="B164" i="59"/>
  <c r="B80" i="59"/>
  <c r="B77" i="59"/>
  <c r="B71" i="59"/>
  <c r="E69" i="59"/>
  <c r="B69" i="59"/>
  <c r="B67" i="59"/>
  <c r="E65" i="59"/>
  <c r="B65" i="59"/>
  <c r="B63" i="59"/>
  <c r="E61" i="59"/>
  <c r="B59" i="59"/>
  <c r="E57" i="59"/>
  <c r="E53" i="59"/>
  <c r="E49" i="59"/>
  <c r="E45" i="59"/>
  <c r="B118" i="59"/>
  <c r="B116" i="59"/>
  <c r="B110" i="59"/>
  <c r="B108" i="59"/>
  <c r="B106" i="59"/>
  <c r="B104" i="59"/>
  <c r="B102" i="59"/>
  <c r="B100" i="59"/>
  <c r="B37" i="59"/>
  <c r="E36" i="59"/>
  <c r="B36" i="59"/>
  <c r="B28" i="59"/>
  <c r="E24" i="59"/>
  <c r="B21" i="59"/>
  <c r="E20" i="59"/>
  <c r="B20" i="59"/>
  <c r="E16" i="59"/>
  <c r="E2" i="59"/>
  <c r="B150" i="57"/>
  <c r="B149" i="57"/>
  <c r="B148" i="57"/>
  <c r="B146" i="57"/>
  <c r="B144" i="57"/>
  <c r="B143" i="57"/>
  <c r="B142" i="57"/>
  <c r="B140" i="57"/>
  <c r="A140" i="57"/>
  <c r="B137" i="57"/>
  <c r="B134" i="57"/>
  <c r="B133" i="57"/>
  <c r="B131" i="57"/>
  <c r="B130" i="57"/>
  <c r="B129" i="57"/>
  <c r="B127" i="57"/>
  <c r="B126" i="57"/>
  <c r="B124" i="57"/>
  <c r="A124" i="57"/>
  <c r="E117" i="57"/>
  <c r="L81" i="39" s="1"/>
  <c r="E116" i="57"/>
  <c r="H81" i="39" s="1"/>
  <c r="E115" i="57"/>
  <c r="D81" i="39" s="1"/>
  <c r="E114" i="57"/>
  <c r="D51" i="39" s="1"/>
  <c r="B114" i="57"/>
  <c r="E113" i="57"/>
  <c r="D44" i="39" s="1"/>
  <c r="E104" i="57"/>
  <c r="L106" i="37" s="1"/>
  <c r="E103" i="57"/>
  <c r="H106" i="37" s="1"/>
  <c r="E102" i="57"/>
  <c r="D106" i="37" s="1"/>
  <c r="E101" i="57"/>
  <c r="D77" i="37" s="1"/>
  <c r="B101" i="57"/>
  <c r="E100" i="57"/>
  <c r="D71" i="37" s="1"/>
  <c r="E99" i="57"/>
  <c r="D64" i="37" s="1"/>
  <c r="E86" i="57"/>
  <c r="E246" i="46" s="1"/>
  <c r="E76" i="57"/>
  <c r="L80" i="39" s="1"/>
  <c r="E75" i="57"/>
  <c r="H80" i="39" s="1"/>
  <c r="E74" i="57"/>
  <c r="D80" i="39" s="1"/>
  <c r="E73" i="57"/>
  <c r="D50" i="39" s="1"/>
  <c r="E72" i="57"/>
  <c r="D43" i="39" s="1"/>
  <c r="E71" i="57"/>
  <c r="E70" i="57"/>
  <c r="E69" i="57"/>
  <c r="E65" i="57"/>
  <c r="L105" i="37" s="1"/>
  <c r="E64" i="57"/>
  <c r="H105" i="37" s="1"/>
  <c r="E63" i="57"/>
  <c r="D105" i="37" s="1"/>
  <c r="E62" i="57"/>
  <c r="D76" i="37" s="1"/>
  <c r="E61" i="57"/>
  <c r="D70" i="37" s="1"/>
  <c r="B61" i="57"/>
  <c r="E60" i="57"/>
  <c r="D63" i="37" s="1"/>
  <c r="E59" i="57"/>
  <c r="E58" i="57"/>
  <c r="E57" i="57"/>
  <c r="E53" i="57"/>
  <c r="E51" i="57"/>
  <c r="E50" i="57"/>
  <c r="B40" i="57"/>
  <c r="B39" i="57"/>
  <c r="B38" i="57"/>
  <c r="B37" i="57"/>
  <c r="E34" i="57"/>
  <c r="D27" i="40" s="1"/>
  <c r="E33" i="57"/>
  <c r="D34" i="40" s="1"/>
  <c r="E32" i="57"/>
  <c r="D20" i="40" s="1"/>
  <c r="E30" i="57"/>
  <c r="E18" i="57"/>
  <c r="E21" i="57" s="1"/>
  <c r="E2" i="57"/>
  <c r="N282" i="8"/>
  <c r="N35" i="81" s="1"/>
  <c r="M282" i="8"/>
  <c r="M35" i="81" s="1"/>
  <c r="L282" i="8"/>
  <c r="L35" i="81" s="1"/>
  <c r="K282" i="8"/>
  <c r="K35" i="81" s="1"/>
  <c r="J282" i="8"/>
  <c r="J35" i="81" s="1"/>
  <c r="I282" i="8"/>
  <c r="I35" i="81" s="1"/>
  <c r="N281" i="8"/>
  <c r="N34" i="81" s="1"/>
  <c r="M281" i="8"/>
  <c r="M34" i="81" s="1"/>
  <c r="L281" i="8"/>
  <c r="L34" i="81" s="1"/>
  <c r="K281" i="8"/>
  <c r="K34" i="81" s="1"/>
  <c r="J281" i="8"/>
  <c r="J34" i="81" s="1"/>
  <c r="I281" i="8"/>
  <c r="I34" i="81" s="1"/>
  <c r="N280" i="8"/>
  <c r="N33" i="81" s="1"/>
  <c r="M280" i="8"/>
  <c r="M33" i="81" s="1"/>
  <c r="L280" i="8"/>
  <c r="L33" i="81" s="1"/>
  <c r="K280" i="8"/>
  <c r="K33" i="81" s="1"/>
  <c r="J280" i="8"/>
  <c r="J33" i="81" s="1"/>
  <c r="I280" i="8"/>
  <c r="I33" i="81" s="1"/>
  <c r="N279" i="8"/>
  <c r="N32" i="81" s="1"/>
  <c r="M279" i="8"/>
  <c r="M32" i="81" s="1"/>
  <c r="L279" i="8"/>
  <c r="L32" i="81" s="1"/>
  <c r="K279" i="8"/>
  <c r="K32" i="81" s="1"/>
  <c r="J279" i="8"/>
  <c r="J32" i="81" s="1"/>
  <c r="I279" i="8"/>
  <c r="I32" i="81" s="1"/>
  <c r="N278" i="8"/>
  <c r="N31" i="81" s="1"/>
  <c r="M278" i="8"/>
  <c r="M31" i="81" s="1"/>
  <c r="L278" i="8"/>
  <c r="L31" i="81" s="1"/>
  <c r="K278" i="8"/>
  <c r="K31" i="81" s="1"/>
  <c r="J278" i="8"/>
  <c r="J31" i="81" s="1"/>
  <c r="I278" i="8"/>
  <c r="I31" i="81" s="1"/>
  <c r="N277" i="8"/>
  <c r="M277" i="8"/>
  <c r="L277" i="8"/>
  <c r="K277" i="8"/>
  <c r="J277" i="8"/>
  <c r="I277" i="8"/>
  <c r="N276" i="8"/>
  <c r="M276" i="8"/>
  <c r="L276" i="8"/>
  <c r="K276" i="8"/>
  <c r="J276" i="8"/>
  <c r="I276" i="8"/>
  <c r="C112" i="4"/>
  <c r="C111" i="4"/>
  <c r="N117" i="8"/>
  <c r="M117" i="8"/>
  <c r="L117" i="8"/>
  <c r="K117" i="8"/>
  <c r="J117" i="8"/>
  <c r="I117" i="8"/>
  <c r="N116" i="8"/>
  <c r="M116" i="8"/>
  <c r="L116" i="8"/>
  <c r="K116" i="8"/>
  <c r="J116" i="8"/>
  <c r="I116" i="8"/>
  <c r="N115" i="8"/>
  <c r="M115" i="8"/>
  <c r="L115" i="8"/>
  <c r="K115" i="8"/>
  <c r="J115" i="8"/>
  <c r="I115" i="8"/>
  <c r="C94" i="4"/>
  <c r="C83" i="4"/>
  <c r="C82" i="4"/>
  <c r="C80" i="4"/>
  <c r="N75" i="8"/>
  <c r="M75" i="8"/>
  <c r="L75" i="8"/>
  <c r="K75" i="8"/>
  <c r="J75" i="8"/>
  <c r="I75" i="8"/>
  <c r="N74" i="8"/>
  <c r="M74" i="8"/>
  <c r="L74" i="8"/>
  <c r="K74" i="8"/>
  <c r="J74" i="8"/>
  <c r="I74" i="8"/>
  <c r="N73" i="8"/>
  <c r="M73" i="8"/>
  <c r="L73" i="8"/>
  <c r="K73" i="8"/>
  <c r="J73" i="8"/>
  <c r="I73" i="8"/>
  <c r="C67" i="4"/>
  <c r="C61" i="4"/>
  <c r="C49" i="4"/>
  <c r="C48" i="4"/>
  <c r="C45" i="4"/>
  <c r="C44" i="4"/>
  <c r="B39" i="4"/>
  <c r="N43" i="64"/>
  <c r="L41" i="64"/>
  <c r="J43" i="64"/>
  <c r="N31" i="8"/>
  <c r="M31" i="8"/>
  <c r="L31" i="8"/>
  <c r="K31" i="8"/>
  <c r="J31" i="8"/>
  <c r="I31" i="8"/>
  <c r="N29" i="8"/>
  <c r="M29" i="8"/>
  <c r="K29" i="8"/>
  <c r="J29" i="8"/>
  <c r="I29" i="8"/>
  <c r="C21" i="4"/>
  <c r="C18" i="4"/>
  <c r="M79" i="8"/>
  <c r="C16" i="4"/>
  <c r="E2" i="4"/>
  <c r="B254" i="7"/>
  <c r="B254" i="8" s="1"/>
  <c r="B253" i="7"/>
  <c r="B253" i="8" s="1"/>
  <c r="B204" i="7"/>
  <c r="B204" i="8" s="1"/>
  <c r="B201" i="7"/>
  <c r="B201" i="8" s="1"/>
  <c r="B200" i="7"/>
  <c r="B200" i="8" s="1"/>
  <c r="B199" i="7"/>
  <c r="B199" i="8" s="1"/>
  <c r="B142" i="7"/>
  <c r="B142" i="8" s="1"/>
  <c r="B141" i="7"/>
  <c r="B141" i="8" s="1"/>
  <c r="B137" i="7"/>
  <c r="B137" i="8" s="1"/>
  <c r="B136" i="7"/>
  <c r="B136" i="8" s="1"/>
  <c r="B132" i="7"/>
  <c r="B132" i="8" s="1"/>
  <c r="B131" i="7"/>
  <c r="B131" i="8" s="1"/>
  <c r="B124" i="7"/>
  <c r="B124" i="8" s="1"/>
  <c r="B120" i="7"/>
  <c r="B120" i="8" s="1"/>
  <c r="B113" i="7"/>
  <c r="B113" i="8" s="1"/>
  <c r="B109" i="7"/>
  <c r="B109" i="8" s="1"/>
  <c r="B106" i="7"/>
  <c r="B106" i="8" s="1"/>
  <c r="B103" i="7"/>
  <c r="B103" i="8" s="1"/>
  <c r="B100" i="7"/>
  <c r="B100" i="8" s="1"/>
  <c r="B97" i="7"/>
  <c r="B97" i="8" s="1"/>
  <c r="B94" i="7"/>
  <c r="B94" i="8" s="1"/>
  <c r="B91" i="7"/>
  <c r="B91" i="8" s="1"/>
  <c r="B83" i="7"/>
  <c r="B83" i="8" s="1"/>
  <c r="B80" i="7"/>
  <c r="B80" i="8" s="1"/>
  <c r="B78" i="7"/>
  <c r="B78" i="8" s="1"/>
  <c r="B70" i="7"/>
  <c r="B70" i="8" s="1"/>
  <c r="B69" i="7"/>
  <c r="B69" i="8" s="1"/>
  <c r="B65" i="7"/>
  <c r="B65" i="8" s="1"/>
  <c r="B49" i="7"/>
  <c r="B49" i="8" s="1"/>
  <c r="B46" i="7"/>
  <c r="B46" i="8" s="1"/>
  <c r="B45" i="7"/>
  <c r="B45" i="8" s="1"/>
  <c r="B43" i="7"/>
  <c r="B43" i="8" s="1"/>
  <c r="N2" i="7"/>
  <c r="M2" i="7"/>
  <c r="L2" i="7"/>
  <c r="K2" i="7"/>
  <c r="J2" i="7"/>
  <c r="I2" i="7"/>
  <c r="H2" i="7"/>
  <c r="G2" i="7"/>
  <c r="F2" i="7"/>
  <c r="E2" i="7"/>
  <c r="B24" i="85"/>
  <c r="B18" i="85"/>
  <c r="B12" i="85"/>
  <c r="B10" i="85"/>
  <c r="F7" i="85"/>
  <c r="L89" i="39"/>
  <c r="H87" i="39"/>
  <c r="D87" i="39"/>
  <c r="B47" i="39"/>
  <c r="B26" i="39"/>
  <c r="H23" i="39"/>
  <c r="B16" i="39"/>
  <c r="P111" i="37"/>
  <c r="L111" i="37"/>
  <c r="D111" i="37"/>
  <c r="B67" i="37"/>
  <c r="B49" i="37"/>
  <c r="B46" i="37"/>
  <c r="F44" i="37"/>
  <c r="B35" i="37"/>
  <c r="B32" i="37"/>
  <c r="J28" i="37"/>
  <c r="B17" i="37"/>
  <c r="D76" i="36"/>
  <c r="D71" i="36"/>
  <c r="M66" i="36"/>
  <c r="D66" i="36"/>
  <c r="Q59" i="36"/>
  <c r="E20" i="4" s="1"/>
  <c r="B86" i="40"/>
  <c r="B80" i="40"/>
  <c r="B67" i="40"/>
  <c r="B61" i="40"/>
  <c r="B49" i="40"/>
  <c r="E17" i="2"/>
  <c r="E16" i="2"/>
  <c r="E13" i="2"/>
  <c r="B298" i="80"/>
  <c r="H191" i="80"/>
  <c r="E282" i="80" s="1"/>
  <c r="G282" i="80" s="1"/>
  <c r="G191" i="80"/>
  <c r="E281" i="80" s="1"/>
  <c r="G281" i="80" s="1"/>
  <c r="F191" i="80"/>
  <c r="E280" i="80" s="1"/>
  <c r="G280" i="80" s="1"/>
  <c r="E191" i="80"/>
  <c r="E279" i="80" s="1"/>
  <c r="G279" i="80" s="1"/>
  <c r="H190" i="80"/>
  <c r="E278" i="80" s="1"/>
  <c r="G278" i="80" s="1"/>
  <c r="G190" i="80"/>
  <c r="E277" i="80" s="1"/>
  <c r="G277" i="80" s="1"/>
  <c r="F190" i="80"/>
  <c r="E276" i="80" s="1"/>
  <c r="G276" i="80" s="1"/>
  <c r="E190" i="80"/>
  <c r="E275" i="80" s="1"/>
  <c r="G275" i="80" s="1"/>
  <c r="H189" i="80"/>
  <c r="E274" i="80" s="1"/>
  <c r="G274" i="80" s="1"/>
  <c r="G189" i="80"/>
  <c r="E273" i="80" s="1"/>
  <c r="G273" i="80" s="1"/>
  <c r="F189" i="80"/>
  <c r="E272" i="80" s="1"/>
  <c r="G272" i="80" s="1"/>
  <c r="E189" i="80"/>
  <c r="E271" i="80" s="1"/>
  <c r="G271" i="80" s="1"/>
  <c r="H188" i="80"/>
  <c r="E270" i="80" s="1"/>
  <c r="G270" i="80" s="1"/>
  <c r="G188" i="80"/>
  <c r="E269" i="80" s="1"/>
  <c r="G269" i="80" s="1"/>
  <c r="F188" i="80"/>
  <c r="E268" i="80" s="1"/>
  <c r="G268" i="80" s="1"/>
  <c r="E188" i="80"/>
  <c r="E267" i="80" s="1"/>
  <c r="G267" i="80" s="1"/>
  <c r="H187" i="80"/>
  <c r="E266" i="80" s="1"/>
  <c r="G266" i="80" s="1"/>
  <c r="G187" i="80"/>
  <c r="E265" i="80" s="1"/>
  <c r="G265" i="80" s="1"/>
  <c r="F187" i="80"/>
  <c r="E264" i="80" s="1"/>
  <c r="G264" i="80" s="1"/>
  <c r="E187" i="80"/>
  <c r="E263" i="80" s="1"/>
  <c r="G263" i="80" s="1"/>
  <c r="H186" i="80"/>
  <c r="E262" i="80" s="1"/>
  <c r="G262" i="80" s="1"/>
  <c r="G186" i="80"/>
  <c r="E261" i="80" s="1"/>
  <c r="G261" i="80" s="1"/>
  <c r="F186" i="80"/>
  <c r="E260" i="80" s="1"/>
  <c r="G260" i="80" s="1"/>
  <c r="E186" i="80"/>
  <c r="E259" i="80" s="1"/>
  <c r="G259" i="80" s="1"/>
  <c r="H185" i="80"/>
  <c r="E258" i="80" s="1"/>
  <c r="G258" i="80" s="1"/>
  <c r="G185" i="80"/>
  <c r="E257" i="80" s="1"/>
  <c r="G257" i="80" s="1"/>
  <c r="F185" i="80"/>
  <c r="E256" i="80" s="1"/>
  <c r="G256" i="80" s="1"/>
  <c r="E185" i="80"/>
  <c r="E255" i="80" s="1"/>
  <c r="G255" i="80" s="1"/>
  <c r="H184" i="80"/>
  <c r="E254" i="80" s="1"/>
  <c r="G254" i="80" s="1"/>
  <c r="G184" i="80"/>
  <c r="E253" i="80" s="1"/>
  <c r="G253" i="80" s="1"/>
  <c r="F184" i="80"/>
  <c r="E252" i="80" s="1"/>
  <c r="G252" i="80" s="1"/>
  <c r="E184" i="80"/>
  <c r="E251" i="80" s="1"/>
  <c r="G251" i="80" s="1"/>
  <c r="H183" i="80"/>
  <c r="E250" i="80" s="1"/>
  <c r="G250" i="80" s="1"/>
  <c r="G183" i="80"/>
  <c r="E249" i="80" s="1"/>
  <c r="G249" i="80" s="1"/>
  <c r="F183" i="80"/>
  <c r="E248" i="80" s="1"/>
  <c r="G248" i="80" s="1"/>
  <c r="E183" i="80"/>
  <c r="E247" i="80" s="1"/>
  <c r="G247" i="80" s="1"/>
  <c r="H182" i="80"/>
  <c r="E246" i="80" s="1"/>
  <c r="G246" i="80" s="1"/>
  <c r="G182" i="80"/>
  <c r="E245" i="80" s="1"/>
  <c r="G245" i="80" s="1"/>
  <c r="F182" i="80"/>
  <c r="E244" i="80" s="1"/>
  <c r="G244" i="80" s="1"/>
  <c r="E182" i="80"/>
  <c r="E243" i="80" s="1"/>
  <c r="G243" i="80" s="1"/>
  <c r="H181" i="80"/>
  <c r="E242" i="80" s="1"/>
  <c r="G242" i="80" s="1"/>
  <c r="G181" i="80"/>
  <c r="E241" i="80" s="1"/>
  <c r="G241" i="80" s="1"/>
  <c r="F181" i="80"/>
  <c r="E240" i="80" s="1"/>
  <c r="G240" i="80" s="1"/>
  <c r="E181" i="80"/>
  <c r="E239" i="80" s="1"/>
  <c r="G239" i="80" s="1"/>
  <c r="H180" i="80"/>
  <c r="E238" i="80" s="1"/>
  <c r="G238" i="80" s="1"/>
  <c r="G180" i="80"/>
  <c r="E237" i="80" s="1"/>
  <c r="G237" i="80" s="1"/>
  <c r="F180" i="80"/>
  <c r="E236" i="80" s="1"/>
  <c r="G236" i="80" s="1"/>
  <c r="E180" i="80"/>
  <c r="E235" i="80" s="1"/>
  <c r="G235" i="80" s="1"/>
  <c r="H179" i="80"/>
  <c r="E234" i="80" s="1"/>
  <c r="G234" i="80" s="1"/>
  <c r="G179" i="80"/>
  <c r="E233" i="80" s="1"/>
  <c r="G233" i="80" s="1"/>
  <c r="F179" i="80"/>
  <c r="E232" i="80" s="1"/>
  <c r="G232" i="80" s="1"/>
  <c r="E179" i="80"/>
  <c r="E231" i="80" s="1"/>
  <c r="G231" i="80" s="1"/>
  <c r="H178" i="80"/>
  <c r="E230" i="80" s="1"/>
  <c r="G230" i="80" s="1"/>
  <c r="G178" i="80"/>
  <c r="E229" i="80" s="1"/>
  <c r="G229" i="80" s="1"/>
  <c r="F178" i="80"/>
  <c r="E228" i="80" s="1"/>
  <c r="G228" i="80" s="1"/>
  <c r="E178" i="80"/>
  <c r="E227" i="80" s="1"/>
  <c r="G227" i="80" s="1"/>
  <c r="H177" i="80"/>
  <c r="E226" i="80" s="1"/>
  <c r="G226" i="80" s="1"/>
  <c r="G177" i="80"/>
  <c r="E225" i="80" s="1"/>
  <c r="G225" i="80" s="1"/>
  <c r="F177" i="80"/>
  <c r="E224" i="80" s="1"/>
  <c r="G224" i="80" s="1"/>
  <c r="E177" i="80"/>
  <c r="E223" i="80" s="1"/>
  <c r="G223" i="80" s="1"/>
  <c r="H176" i="80"/>
  <c r="E222" i="80" s="1"/>
  <c r="G222" i="80" s="1"/>
  <c r="G176" i="80"/>
  <c r="E221" i="80" s="1"/>
  <c r="G221" i="80" s="1"/>
  <c r="F176" i="80"/>
  <c r="E220" i="80" s="1"/>
  <c r="G220" i="80" s="1"/>
  <c r="E176" i="80"/>
  <c r="E219" i="80" s="1"/>
  <c r="G219" i="80" s="1"/>
  <c r="H175" i="80"/>
  <c r="E218" i="80" s="1"/>
  <c r="G218" i="80" s="1"/>
  <c r="G175" i="80"/>
  <c r="E217" i="80" s="1"/>
  <c r="G217" i="80" s="1"/>
  <c r="F175" i="80"/>
  <c r="E216" i="80" s="1"/>
  <c r="G216" i="80" s="1"/>
  <c r="E175" i="80"/>
  <c r="E215" i="80" s="1"/>
  <c r="G215" i="80" s="1"/>
  <c r="H174" i="80"/>
  <c r="E214" i="80" s="1"/>
  <c r="G214" i="80" s="1"/>
  <c r="G174" i="80"/>
  <c r="E213" i="80" s="1"/>
  <c r="G213" i="80" s="1"/>
  <c r="F174" i="80"/>
  <c r="E212" i="80" s="1"/>
  <c r="G212" i="80" s="1"/>
  <c r="E174" i="80"/>
  <c r="E211" i="80" s="1"/>
  <c r="G211" i="80" s="1"/>
  <c r="H173" i="80"/>
  <c r="E210" i="80" s="1"/>
  <c r="G210" i="80" s="1"/>
  <c r="G173" i="80"/>
  <c r="E209" i="80" s="1"/>
  <c r="G209" i="80" s="1"/>
  <c r="F173" i="80"/>
  <c r="E208" i="80" s="1"/>
  <c r="G208" i="80" s="1"/>
  <c r="E173" i="80"/>
  <c r="E207" i="80" s="1"/>
  <c r="G207" i="80" s="1"/>
  <c r="H172" i="80"/>
  <c r="E206" i="80" s="1"/>
  <c r="G206" i="80" s="1"/>
  <c r="G172" i="80"/>
  <c r="E205" i="80" s="1"/>
  <c r="G205" i="80" s="1"/>
  <c r="F172" i="80"/>
  <c r="E204" i="80" s="1"/>
  <c r="G204" i="80" s="1"/>
  <c r="E172" i="80"/>
  <c r="E203" i="80" s="1"/>
  <c r="G203" i="80" s="1"/>
  <c r="H171" i="80"/>
  <c r="E202" i="80" s="1"/>
  <c r="G202" i="80" s="1"/>
  <c r="G171" i="80"/>
  <c r="E201" i="80" s="1"/>
  <c r="G201" i="80" s="1"/>
  <c r="F171" i="80"/>
  <c r="E200" i="80" s="1"/>
  <c r="G200" i="80" s="1"/>
  <c r="E171" i="80"/>
  <c r="E199" i="80" s="1"/>
  <c r="G199" i="80" s="1"/>
  <c r="H170" i="80"/>
  <c r="E198" i="80" s="1"/>
  <c r="G198" i="80" s="1"/>
  <c r="G170" i="80"/>
  <c r="E197" i="80" s="1"/>
  <c r="G197" i="80" s="1"/>
  <c r="F170" i="80"/>
  <c r="E196" i="80" s="1"/>
  <c r="G196" i="80" s="1"/>
  <c r="E170" i="80"/>
  <c r="AG163" i="80"/>
  <c r="AF163" i="80"/>
  <c r="AE163" i="80"/>
  <c r="AD163" i="80"/>
  <c r="AC163" i="80"/>
  <c r="AB163" i="80"/>
  <c r="AA163" i="80"/>
  <c r="Z163" i="80"/>
  <c r="Y163" i="80"/>
  <c r="X163" i="80"/>
  <c r="W163" i="80"/>
  <c r="V163" i="80"/>
  <c r="U163" i="80"/>
  <c r="T163" i="80"/>
  <c r="S163" i="80"/>
  <c r="R163" i="80"/>
  <c r="Q163" i="80"/>
  <c r="P163" i="80"/>
  <c r="O163" i="80"/>
  <c r="N163" i="80"/>
  <c r="M163" i="80"/>
  <c r="L163" i="80"/>
  <c r="K163" i="80"/>
  <c r="J163" i="80"/>
  <c r="I163" i="80"/>
  <c r="H163" i="80"/>
  <c r="G163" i="80"/>
  <c r="F163" i="80"/>
  <c r="E163" i="80"/>
  <c r="D163" i="80"/>
  <c r="C163" i="80"/>
  <c r="B163" i="80"/>
  <c r="F159" i="80"/>
  <c r="C17" i="80"/>
  <c r="C16" i="80"/>
  <c r="C160" i="80" s="1"/>
  <c r="E18" i="44"/>
  <c r="E20" i="44" s="1"/>
  <c r="K35" i="11"/>
  <c r="K34" i="11"/>
  <c r="K33" i="11"/>
  <c r="K32" i="11"/>
  <c r="K31" i="11"/>
  <c r="K30" i="11"/>
  <c r="F26" i="6"/>
  <c r="F20" i="6"/>
  <c r="F19" i="6"/>
  <c r="F107" i="38"/>
  <c r="F106" i="38"/>
  <c r="D104" i="38"/>
  <c r="C101" i="38"/>
  <c r="C92" i="38"/>
  <c r="C90" i="38"/>
  <c r="C78" i="38"/>
  <c r="C76" i="38"/>
  <c r="C74" i="38"/>
  <c r="C68" i="38"/>
  <c r="C66" i="38"/>
  <c r="C64" i="38"/>
  <c r="C62" i="38"/>
  <c r="C60" i="38"/>
  <c r="C58" i="38"/>
  <c r="C56" i="38"/>
  <c r="C54" i="38"/>
  <c r="C52" i="38"/>
  <c r="C50" i="38"/>
  <c r="C137" i="32"/>
  <c r="C134" i="32"/>
  <c r="C131" i="32"/>
  <c r="C115" i="32"/>
  <c r="C112" i="32"/>
  <c r="C106" i="32"/>
  <c r="C103" i="32"/>
  <c r="C97" i="32"/>
  <c r="E43" i="25"/>
  <c r="E42" i="25"/>
  <c r="K38" i="25"/>
  <c r="K29" i="25"/>
  <c r="K28" i="25"/>
  <c r="K27" i="25"/>
  <c r="K26" i="25"/>
  <c r="K25" i="25"/>
  <c r="K24" i="25"/>
  <c r="K23" i="25"/>
  <c r="K22" i="25"/>
  <c r="H21" i="25"/>
  <c r="K21" i="25" s="1"/>
  <c r="K20" i="25"/>
  <c r="K19" i="25"/>
  <c r="I18" i="25"/>
  <c r="H18" i="25"/>
  <c r="K17" i="25"/>
  <c r="H16" i="25"/>
  <c r="K16" i="25" s="1"/>
  <c r="K15" i="25"/>
  <c r="H13" i="25"/>
  <c r="K13" i="25" s="1"/>
  <c r="K12" i="25"/>
  <c r="K11" i="25"/>
  <c r="K10" i="25"/>
  <c r="D51" i="1"/>
  <c r="D47" i="1"/>
  <c r="D45" i="1"/>
  <c r="E9" i="4" s="1"/>
  <c r="D43" i="1"/>
  <c r="E8" i="4" s="1"/>
  <c r="D41" i="1"/>
  <c r="E7" i="4" s="1"/>
  <c r="E48" i="72" l="1"/>
  <c r="E9" i="72"/>
  <c r="E62" i="72"/>
  <c r="E23" i="72"/>
  <c r="B148" i="84"/>
  <c r="M154" i="55"/>
  <c r="I147" i="55"/>
  <c r="K148" i="55"/>
  <c r="M149" i="55"/>
  <c r="B143" i="7"/>
  <c r="B143" i="8" s="1"/>
  <c r="B202" i="7"/>
  <c r="B202" i="8" s="1"/>
  <c r="C40" i="4"/>
  <c r="B128" i="57"/>
  <c r="B286" i="59"/>
  <c r="D42" i="45"/>
  <c r="D131" i="45"/>
  <c r="F151" i="54"/>
  <c r="F153" i="54"/>
  <c r="F147" i="55"/>
  <c r="J147" i="55"/>
  <c r="N147" i="55"/>
  <c r="H148" i="55"/>
  <c r="L148" i="55"/>
  <c r="F149" i="55"/>
  <c r="P149" i="55" s="1"/>
  <c r="J149" i="55"/>
  <c r="N149" i="55"/>
  <c r="H150" i="55"/>
  <c r="L150" i="55"/>
  <c r="F151" i="55"/>
  <c r="J151" i="55"/>
  <c r="N151" i="55"/>
  <c r="H152" i="55"/>
  <c r="L152" i="55"/>
  <c r="F153" i="55"/>
  <c r="J153" i="55"/>
  <c r="N153" i="55"/>
  <c r="H154" i="55"/>
  <c r="L154" i="55"/>
  <c r="I151" i="55"/>
  <c r="K152" i="55"/>
  <c r="B42" i="40"/>
  <c r="B79" i="7"/>
  <c r="B79" i="8" s="1"/>
  <c r="C113" i="4"/>
  <c r="B60" i="57"/>
  <c r="B24" i="59"/>
  <c r="B178" i="59"/>
  <c r="B266" i="59"/>
  <c r="D115" i="45"/>
  <c r="B294" i="77"/>
  <c r="G148" i="58"/>
  <c r="E149" i="58"/>
  <c r="G150" i="58"/>
  <c r="E151" i="58"/>
  <c r="G152" i="58"/>
  <c r="E153" i="58"/>
  <c r="G154" i="58"/>
  <c r="E155" i="58"/>
  <c r="G149" i="54"/>
  <c r="M147" i="55"/>
  <c r="G148" i="55"/>
  <c r="I149" i="55"/>
  <c r="K150" i="55"/>
  <c r="M151" i="55"/>
  <c r="G152" i="55"/>
  <c r="I153" i="55"/>
  <c r="K154" i="55"/>
  <c r="G147" i="55"/>
  <c r="E154" i="55"/>
  <c r="D276" i="46"/>
  <c r="M153" i="55"/>
  <c r="E150" i="55"/>
  <c r="K153" i="55"/>
  <c r="B35" i="57"/>
  <c r="B99" i="57"/>
  <c r="B134" i="59"/>
  <c r="B256" i="59"/>
  <c r="D198" i="45"/>
  <c r="D18" i="73"/>
  <c r="H147" i="55"/>
  <c r="L147" i="55"/>
  <c r="F148" i="55"/>
  <c r="P148" i="55" s="1"/>
  <c r="J148" i="55"/>
  <c r="N148" i="55"/>
  <c r="H149" i="55"/>
  <c r="L149" i="55"/>
  <c r="F150" i="55"/>
  <c r="J150" i="55"/>
  <c r="N150" i="55"/>
  <c r="H151" i="55"/>
  <c r="L151" i="55"/>
  <c r="F152" i="55"/>
  <c r="J152" i="55"/>
  <c r="N152" i="55"/>
  <c r="H153" i="55"/>
  <c r="L153" i="55"/>
  <c r="F154" i="55"/>
  <c r="J154" i="55"/>
  <c r="N154" i="55"/>
  <c r="E152" i="55"/>
  <c r="G153" i="55"/>
  <c r="P153" i="55" s="1"/>
  <c r="B173" i="84"/>
  <c r="H51" i="89"/>
  <c r="G51" i="89"/>
  <c r="L51" i="89"/>
  <c r="K51" i="89"/>
  <c r="E51" i="89"/>
  <c r="E308" i="59" s="1"/>
  <c r="J51" i="89"/>
  <c r="I51" i="89"/>
  <c r="N51" i="89"/>
  <c r="M51" i="89"/>
  <c r="F51" i="89"/>
  <c r="D102" i="54"/>
  <c r="C70" i="38"/>
  <c r="B73" i="37"/>
  <c r="B32" i="39"/>
  <c r="B11" i="85"/>
  <c r="B23" i="85"/>
  <c r="B71" i="7"/>
  <c r="B71" i="8" s="1"/>
  <c r="B121" i="7"/>
  <c r="B121" i="8" s="1"/>
  <c r="B47" i="4"/>
  <c r="C63" i="4"/>
  <c r="C68" i="4"/>
  <c r="B29" i="59"/>
  <c r="B40" i="59"/>
  <c r="B310" i="59"/>
  <c r="B237" i="77"/>
  <c r="A51" i="23"/>
  <c r="B23" i="37"/>
  <c r="B38" i="37"/>
  <c r="B19" i="39"/>
  <c r="B67" i="7"/>
  <c r="B67" i="8" s="1"/>
  <c r="B85" i="7"/>
  <c r="B85" i="8" s="1"/>
  <c r="B110" i="7"/>
  <c r="B110" i="8" s="1"/>
  <c r="B41" i="59"/>
  <c r="B206" i="59"/>
  <c r="B208" i="59"/>
  <c r="B304" i="59"/>
  <c r="B311" i="59"/>
  <c r="B65" i="77"/>
  <c r="B180" i="77"/>
  <c r="B264" i="77"/>
  <c r="B295" i="77"/>
  <c r="D283" i="46"/>
  <c r="D296" i="46"/>
  <c r="D308" i="46"/>
  <c r="B51" i="23"/>
  <c r="M71" i="36"/>
  <c r="I43" i="37"/>
  <c r="B52" i="37"/>
  <c r="J7" i="85"/>
  <c r="B17" i="85"/>
  <c r="B125" i="7"/>
  <c r="B125" i="8" s="1"/>
  <c r="B203" i="7"/>
  <c r="B203" i="8" s="1"/>
  <c r="B255" i="7"/>
  <c r="B255" i="8" s="1"/>
  <c r="C22" i="4"/>
  <c r="C95" i="4"/>
  <c r="B62" i="57"/>
  <c r="B172" i="59"/>
  <c r="B174" i="59"/>
  <c r="B307" i="59"/>
  <c r="B66" i="77"/>
  <c r="B181" i="77"/>
  <c r="E195" i="80"/>
  <c r="G195" i="80" s="1"/>
  <c r="F195" i="80" s="1"/>
  <c r="F196" i="80" s="1"/>
  <c r="F197" i="80" s="1"/>
  <c r="F198" i="80" s="1"/>
  <c r="F199" i="80" s="1"/>
  <c r="F200" i="80" s="1"/>
  <c r="F201" i="80" s="1"/>
  <c r="F202" i="80" s="1"/>
  <c r="F203" i="80" s="1"/>
  <c r="F204" i="80" s="1"/>
  <c r="F205" i="80" s="1"/>
  <c r="F206" i="80" s="1"/>
  <c r="F207" i="80" s="1"/>
  <c r="F208" i="80" s="1"/>
  <c r="F209" i="80" s="1"/>
  <c r="F210" i="80" s="1"/>
  <c r="F211" i="80" s="1"/>
  <c r="F212" i="80" s="1"/>
  <c r="F213" i="80" s="1"/>
  <c r="F214" i="80" s="1"/>
  <c r="F215" i="80" s="1"/>
  <c r="F216" i="80" s="1"/>
  <c r="F217" i="80" s="1"/>
  <c r="F218" i="80" s="1"/>
  <c r="F219" i="80" s="1"/>
  <c r="F220" i="80" s="1"/>
  <c r="F221" i="80" s="1"/>
  <c r="F222" i="80" s="1"/>
  <c r="F223" i="80" s="1"/>
  <c r="F224" i="80" s="1"/>
  <c r="F225" i="80" s="1"/>
  <c r="F226" i="80" s="1"/>
  <c r="F227" i="80" s="1"/>
  <c r="F228" i="80" s="1"/>
  <c r="F229" i="80" s="1"/>
  <c r="F230" i="80" s="1"/>
  <c r="F231" i="80" s="1"/>
  <c r="F232" i="80" s="1"/>
  <c r="F233" i="80" s="1"/>
  <c r="F234" i="80" s="1"/>
  <c r="F235" i="80" s="1"/>
  <c r="F236" i="80" s="1"/>
  <c r="F237" i="80" s="1"/>
  <c r="F238" i="80" s="1"/>
  <c r="F239" i="80" s="1"/>
  <c r="F240" i="80" s="1"/>
  <c r="F241" i="80" s="1"/>
  <c r="F242" i="80" s="1"/>
  <c r="F243" i="80" s="1"/>
  <c r="F244" i="80" s="1"/>
  <c r="F245" i="80" s="1"/>
  <c r="F246" i="80" s="1"/>
  <c r="F247" i="80" s="1"/>
  <c r="F248" i="80" s="1"/>
  <c r="F249" i="80" s="1"/>
  <c r="F250" i="80" s="1"/>
  <c r="F251" i="80" s="1"/>
  <c r="F252" i="80" s="1"/>
  <c r="F253" i="80" s="1"/>
  <c r="F254" i="80" s="1"/>
  <c r="F255" i="80" s="1"/>
  <c r="F256" i="80" s="1"/>
  <c r="F257" i="80" s="1"/>
  <c r="F258" i="80" s="1"/>
  <c r="F259" i="80" s="1"/>
  <c r="F260" i="80" s="1"/>
  <c r="F261" i="80" s="1"/>
  <c r="F262" i="80" s="1"/>
  <c r="F263" i="80" s="1"/>
  <c r="F264" i="80" s="1"/>
  <c r="F265" i="80" s="1"/>
  <c r="F266" i="80" s="1"/>
  <c r="F267" i="80" s="1"/>
  <c r="F268" i="80" s="1"/>
  <c r="F269" i="80" s="1"/>
  <c r="F270" i="80" s="1"/>
  <c r="F271" i="80" s="1"/>
  <c r="F272" i="80" s="1"/>
  <c r="F273" i="80" s="1"/>
  <c r="F274" i="80" s="1"/>
  <c r="F275" i="80" s="1"/>
  <c r="F276" i="80" s="1"/>
  <c r="F277" i="80" s="1"/>
  <c r="F278" i="80" s="1"/>
  <c r="F279" i="80" s="1"/>
  <c r="F280" i="80" s="1"/>
  <c r="F281" i="80" s="1"/>
  <c r="F282" i="80" s="1"/>
  <c r="E229" i="69"/>
  <c r="E233" i="69" s="1"/>
  <c r="E238" i="69" s="1"/>
  <c r="L23" i="81"/>
  <c r="F30" i="81"/>
  <c r="E161" i="21"/>
  <c r="F161" i="21" s="1"/>
  <c r="G161" i="21" s="1"/>
  <c r="H161" i="21" s="1"/>
  <c r="N70" i="84"/>
  <c r="E40" i="59"/>
  <c r="B171" i="84"/>
  <c r="B187" i="84"/>
  <c r="B172" i="84"/>
  <c r="C109" i="32"/>
  <c r="C80" i="38"/>
  <c r="F30" i="37"/>
  <c r="H7" i="85"/>
  <c r="B22" i="85"/>
  <c r="B66" i="7"/>
  <c r="B66" i="8" s="1"/>
  <c r="B92" i="7"/>
  <c r="B92" i="8" s="1"/>
  <c r="B98" i="7"/>
  <c r="B98" i="8" s="1"/>
  <c r="B104" i="7"/>
  <c r="B104" i="8" s="1"/>
  <c r="B138" i="7"/>
  <c r="B138" i="8" s="1"/>
  <c r="C17" i="4"/>
  <c r="C41" i="4"/>
  <c r="C62" i="4"/>
  <c r="C66" i="4"/>
  <c r="C98" i="4"/>
  <c r="C99" i="4"/>
  <c r="B36" i="57"/>
  <c r="B72" i="57"/>
  <c r="B113" i="57"/>
  <c r="B135" i="57"/>
  <c r="B145" i="57"/>
  <c r="B25" i="59"/>
  <c r="B96" i="59"/>
  <c r="B112" i="59"/>
  <c r="B57" i="59"/>
  <c r="B61" i="59"/>
  <c r="B73" i="59"/>
  <c r="B180" i="59"/>
  <c r="B182" i="59"/>
  <c r="B210" i="59"/>
  <c r="B212" i="59"/>
  <c r="B136" i="59"/>
  <c r="B237" i="59"/>
  <c r="B242" i="59"/>
  <c r="B258" i="59"/>
  <c r="B297" i="59"/>
  <c r="B305" i="59"/>
  <c r="D23" i="68"/>
  <c r="D97" i="68"/>
  <c r="D47" i="72"/>
  <c r="D19" i="73"/>
  <c r="D41" i="73"/>
  <c r="B152" i="77"/>
  <c r="B208" i="77"/>
  <c r="D288" i="46"/>
  <c r="D307" i="46"/>
  <c r="B40" i="23"/>
  <c r="D33" i="83" s="1"/>
  <c r="A10" i="84"/>
  <c r="B146" i="84"/>
  <c r="C100" i="32"/>
  <c r="C82" i="38"/>
  <c r="B20" i="37"/>
  <c r="B60" i="37"/>
  <c r="H111" i="37"/>
  <c r="B40" i="39"/>
  <c r="L87" i="39"/>
  <c r="B16" i="85"/>
  <c r="B42" i="7"/>
  <c r="B42" i="8" s="1"/>
  <c r="B48" i="7"/>
  <c r="B48" i="8" s="1"/>
  <c r="B84" i="7"/>
  <c r="B84" i="8" s="1"/>
  <c r="B93" i="7"/>
  <c r="B93" i="8" s="1"/>
  <c r="B99" i="7"/>
  <c r="B99" i="8" s="1"/>
  <c r="B105" i="7"/>
  <c r="B105" i="8" s="1"/>
  <c r="B112" i="7"/>
  <c r="B112" i="8" s="1"/>
  <c r="B133" i="7"/>
  <c r="B133" i="8" s="1"/>
  <c r="B43" i="4"/>
  <c r="C81" i="4"/>
  <c r="B73" i="57"/>
  <c r="B100" i="57"/>
  <c r="B136" i="57"/>
  <c r="B98" i="59"/>
  <c r="B114" i="59"/>
  <c r="B75" i="59"/>
  <c r="B168" i="59"/>
  <c r="B170" i="59"/>
  <c r="B214" i="59"/>
  <c r="B216" i="59"/>
  <c r="B138" i="59"/>
  <c r="B150" i="59"/>
  <c r="B238" i="59"/>
  <c r="B261" i="59"/>
  <c r="B281" i="59"/>
  <c r="B291" i="59"/>
  <c r="B302" i="59"/>
  <c r="D8" i="72"/>
  <c r="D61" i="72"/>
  <c r="B153" i="77"/>
  <c r="B209" i="77"/>
  <c r="B299" i="77"/>
  <c r="D282" i="46"/>
  <c r="B23" i="23"/>
  <c r="B42" i="23"/>
  <c r="D35" i="83" s="1"/>
  <c r="B50" i="23"/>
  <c r="G57" i="95"/>
  <c r="G174" i="58"/>
  <c r="K174" i="58"/>
  <c r="H175" i="58"/>
  <c r="L175" i="58"/>
  <c r="E176" i="58"/>
  <c r="I176" i="58"/>
  <c r="M176" i="58"/>
  <c r="F177" i="58"/>
  <c r="J177" i="58"/>
  <c r="N177" i="58"/>
  <c r="G178" i="58"/>
  <c r="K178" i="58"/>
  <c r="H179" i="58"/>
  <c r="L179" i="58"/>
  <c r="E180" i="58"/>
  <c r="I180" i="58"/>
  <c r="M180" i="58"/>
  <c r="F181" i="58"/>
  <c r="J181" i="58"/>
  <c r="H174" i="58"/>
  <c r="L174" i="58"/>
  <c r="E175" i="58"/>
  <c r="I175" i="58"/>
  <c r="M175" i="58"/>
  <c r="F176" i="58"/>
  <c r="J176" i="58"/>
  <c r="N176" i="58"/>
  <c r="G177" i="58"/>
  <c r="K177" i="58"/>
  <c r="H178" i="58"/>
  <c r="L178" i="58"/>
  <c r="E179" i="58"/>
  <c r="I179" i="58"/>
  <c r="M179" i="58"/>
  <c r="F180" i="58"/>
  <c r="J180" i="58"/>
  <c r="N180" i="58"/>
  <c r="G181" i="58"/>
  <c r="K181" i="58"/>
  <c r="F174" i="58"/>
  <c r="N174" i="58"/>
  <c r="J175" i="58"/>
  <c r="G176" i="58"/>
  <c r="L177" i="58"/>
  <c r="F178" i="58"/>
  <c r="N178" i="58"/>
  <c r="J179" i="58"/>
  <c r="G180" i="58"/>
  <c r="L181" i="58"/>
  <c r="E182" i="58"/>
  <c r="I182" i="58"/>
  <c r="M182" i="58"/>
  <c r="F183" i="58"/>
  <c r="J183" i="58"/>
  <c r="N183" i="58"/>
  <c r="G184" i="58"/>
  <c r="K184" i="58"/>
  <c r="H185" i="58"/>
  <c r="L185" i="58"/>
  <c r="E186" i="58"/>
  <c r="I186" i="58"/>
  <c r="M186" i="58"/>
  <c r="F187" i="58"/>
  <c r="J187" i="58"/>
  <c r="N187" i="58"/>
  <c r="G188" i="58"/>
  <c r="K188" i="58"/>
  <c r="H189" i="58"/>
  <c r="L189" i="58"/>
  <c r="E174" i="58"/>
  <c r="L176" i="58"/>
  <c r="I177" i="58"/>
  <c r="E178" i="58"/>
  <c r="G179" i="58"/>
  <c r="L180" i="58"/>
  <c r="K185" i="58"/>
  <c r="E187" i="58"/>
  <c r="M187" i="58"/>
  <c r="J188" i="58"/>
  <c r="K189" i="58"/>
  <c r="I174" i="58"/>
  <c r="K175" i="58"/>
  <c r="H176" i="58"/>
  <c r="E177" i="58"/>
  <c r="M177" i="58"/>
  <c r="I178" i="58"/>
  <c r="K179" i="58"/>
  <c r="H180" i="58"/>
  <c r="E181" i="58"/>
  <c r="M181" i="58"/>
  <c r="F182" i="58"/>
  <c r="J182" i="58"/>
  <c r="N182" i="58"/>
  <c r="G183" i="58"/>
  <c r="K183" i="58"/>
  <c r="H184" i="58"/>
  <c r="L184" i="58"/>
  <c r="E185" i="58"/>
  <c r="I185" i="58"/>
  <c r="M185" i="58"/>
  <c r="F186" i="58"/>
  <c r="J186" i="58"/>
  <c r="N186" i="58"/>
  <c r="G187" i="58"/>
  <c r="K187" i="58"/>
  <c r="H188" i="58"/>
  <c r="L188" i="58"/>
  <c r="E189" i="58"/>
  <c r="I189" i="58"/>
  <c r="M189" i="58"/>
  <c r="M174" i="58"/>
  <c r="G175" i="58"/>
  <c r="E183" i="58"/>
  <c r="F184" i="58"/>
  <c r="N184" i="58"/>
  <c r="G189" i="58"/>
  <c r="J174" i="58"/>
  <c r="F175" i="58"/>
  <c r="N175" i="58"/>
  <c r="K176" i="58"/>
  <c r="H177" i="58"/>
  <c r="J178" i="58"/>
  <c r="F179" i="58"/>
  <c r="N179" i="58"/>
  <c r="K180" i="58"/>
  <c r="H181" i="58"/>
  <c r="N181" i="58"/>
  <c r="G182" i="58"/>
  <c r="K182" i="58"/>
  <c r="H183" i="58"/>
  <c r="L183" i="58"/>
  <c r="E184" i="58"/>
  <c r="I184" i="58"/>
  <c r="M184" i="58"/>
  <c r="F185" i="58"/>
  <c r="J185" i="58"/>
  <c r="N185" i="58"/>
  <c r="G186" i="58"/>
  <c r="K186" i="58"/>
  <c r="H187" i="58"/>
  <c r="L187" i="58"/>
  <c r="E188" i="58"/>
  <c r="I188" i="58"/>
  <c r="M188" i="58"/>
  <c r="F189" i="58"/>
  <c r="J189" i="58"/>
  <c r="N189" i="58"/>
  <c r="M178" i="58"/>
  <c r="I181" i="58"/>
  <c r="H182" i="58"/>
  <c r="L182" i="58"/>
  <c r="I183" i="58"/>
  <c r="M183" i="58"/>
  <c r="J184" i="58"/>
  <c r="G185" i="58"/>
  <c r="H186" i="58"/>
  <c r="L186" i="58"/>
  <c r="I187" i="58"/>
  <c r="F188" i="58"/>
  <c r="N188" i="58"/>
  <c r="K148" i="58"/>
  <c r="K159" i="58" s="1"/>
  <c r="I149" i="58"/>
  <c r="M149" i="58"/>
  <c r="K150" i="58"/>
  <c r="I151" i="58"/>
  <c r="M151" i="58"/>
  <c r="K152" i="58"/>
  <c r="K163" i="58" s="1"/>
  <c r="I153" i="58"/>
  <c r="M153" i="58"/>
  <c r="K154" i="58"/>
  <c r="I155" i="58"/>
  <c r="M155" i="58"/>
  <c r="H148" i="58"/>
  <c r="H159" i="58" s="1"/>
  <c r="L148" i="58"/>
  <c r="L159" i="58" s="1"/>
  <c r="F149" i="58"/>
  <c r="J149" i="58"/>
  <c r="N149" i="58"/>
  <c r="H150" i="58"/>
  <c r="L150" i="58"/>
  <c r="F151" i="58"/>
  <c r="J151" i="58"/>
  <c r="N151" i="58"/>
  <c r="H152" i="58"/>
  <c r="H163" i="58" s="1"/>
  <c r="L152" i="58"/>
  <c r="L163" i="58" s="1"/>
  <c r="F153" i="58"/>
  <c r="J153" i="58"/>
  <c r="N153" i="58"/>
  <c r="H154" i="58"/>
  <c r="L154" i="58"/>
  <c r="F155" i="58"/>
  <c r="J155" i="58"/>
  <c r="J166" i="58" s="1"/>
  <c r="N155" i="58"/>
  <c r="E148" i="58"/>
  <c r="I148" i="58"/>
  <c r="I159" i="58" s="1"/>
  <c r="M148" i="58"/>
  <c r="M159" i="58" s="1"/>
  <c r="G149" i="58"/>
  <c r="G160" i="58" s="1"/>
  <c r="K149" i="58"/>
  <c r="K160" i="58" s="1"/>
  <c r="E150" i="58"/>
  <c r="I150" i="58"/>
  <c r="M150" i="58"/>
  <c r="G151" i="58"/>
  <c r="K151" i="58"/>
  <c r="E152" i="58"/>
  <c r="I152" i="58"/>
  <c r="I163" i="58" s="1"/>
  <c r="M152" i="58"/>
  <c r="M163" i="58" s="1"/>
  <c r="G153" i="58"/>
  <c r="K153" i="58"/>
  <c r="E154" i="58"/>
  <c r="I154" i="58"/>
  <c r="M154" i="58"/>
  <c r="K155" i="58"/>
  <c r="K166" i="58" s="1"/>
  <c r="F148" i="58"/>
  <c r="F159" i="58" s="1"/>
  <c r="J148" i="58"/>
  <c r="J159" i="58" s="1"/>
  <c r="N148" i="58"/>
  <c r="N159" i="58" s="1"/>
  <c r="H149" i="58"/>
  <c r="H160" i="58" s="1"/>
  <c r="L149" i="58"/>
  <c r="L160" i="58" s="1"/>
  <c r="F150" i="58"/>
  <c r="J150" i="58"/>
  <c r="N150" i="58"/>
  <c r="H151" i="58"/>
  <c r="L151" i="58"/>
  <c r="F152" i="58"/>
  <c r="F163" i="58" s="1"/>
  <c r="J152" i="58"/>
  <c r="J163" i="58" s="1"/>
  <c r="N152" i="58"/>
  <c r="N163" i="58" s="1"/>
  <c r="H153" i="58"/>
  <c r="L153" i="58"/>
  <c r="F154" i="58"/>
  <c r="J154" i="58"/>
  <c r="N154" i="58"/>
  <c r="H155" i="58"/>
  <c r="H166" i="58" s="1"/>
  <c r="L155" i="58"/>
  <c r="L166" i="58" s="1"/>
  <c r="F22" i="81"/>
  <c r="J22" i="81"/>
  <c r="N22" i="81"/>
  <c r="G22" i="81"/>
  <c r="K22" i="81"/>
  <c r="H22" i="81"/>
  <c r="L22" i="81"/>
  <c r="H29" i="81"/>
  <c r="E22" i="81"/>
  <c r="I22" i="81"/>
  <c r="M22" i="81"/>
  <c r="L25" i="81"/>
  <c r="E32" i="59"/>
  <c r="G23" i="81"/>
  <c r="K25" i="81"/>
  <c r="E30" i="81"/>
  <c r="G30" i="81"/>
  <c r="H30" i="81"/>
  <c r="B147" i="84"/>
  <c r="B150" i="84"/>
  <c r="K23" i="81"/>
  <c r="G25" i="81"/>
  <c r="G29" i="81"/>
  <c r="M25" i="81"/>
  <c r="M23" i="81"/>
  <c r="L29" i="81"/>
  <c r="I25" i="81"/>
  <c r="E29" i="81"/>
  <c r="I29" i="81"/>
  <c r="M29" i="81"/>
  <c r="J25" i="81"/>
  <c r="F29" i="81"/>
  <c r="J29" i="81"/>
  <c r="N29" i="81"/>
  <c r="K29" i="81"/>
  <c r="I26" i="81"/>
  <c r="I27" i="81"/>
  <c r="E25" i="81"/>
  <c r="E26" i="81"/>
  <c r="AH164" i="80"/>
  <c r="AG164" i="80"/>
  <c r="B160" i="84"/>
  <c r="B168" i="84"/>
  <c r="B191" i="84"/>
  <c r="A50" i="23"/>
  <c r="B188" i="84"/>
  <c r="B157" i="84"/>
  <c r="F27" i="81"/>
  <c r="J27" i="81"/>
  <c r="N27" i="81"/>
  <c r="F23" i="81"/>
  <c r="J23" i="81"/>
  <c r="N23" i="81"/>
  <c r="F26" i="81"/>
  <c r="J26" i="81"/>
  <c r="F25" i="81"/>
  <c r="N25" i="81"/>
  <c r="E13" i="69"/>
  <c r="E17" i="69" s="1"/>
  <c r="E22" i="69" s="1"/>
  <c r="E42" i="69"/>
  <c r="E258" i="69"/>
  <c r="E262" i="69" s="1"/>
  <c r="E85" i="69"/>
  <c r="E89" i="69" s="1"/>
  <c r="E233" i="8" s="1"/>
  <c r="E157" i="69"/>
  <c r="E161" i="69" s="1"/>
  <c r="E166" i="69" s="1"/>
  <c r="E114" i="69"/>
  <c r="E118" i="69" s="1"/>
  <c r="E240" i="8" s="1"/>
  <c r="E186" i="69"/>
  <c r="E190" i="69" s="1"/>
  <c r="E195" i="69" s="1"/>
  <c r="H240" i="8"/>
  <c r="H235" i="8"/>
  <c r="H243" i="8"/>
  <c r="B167" i="84"/>
  <c r="B190" i="84"/>
  <c r="D6" i="84"/>
  <c r="O6" i="84" s="1"/>
  <c r="B144" i="59"/>
  <c r="B142" i="59"/>
  <c r="B159" i="84"/>
  <c r="M59" i="54"/>
  <c r="M120" i="54" s="1"/>
  <c r="N59" i="54"/>
  <c r="N120" i="54" s="1"/>
  <c r="B61" i="23"/>
  <c r="B23" i="39"/>
  <c r="A3" i="84"/>
  <c r="B41" i="23"/>
  <c r="D34" i="83" s="1"/>
  <c r="B45" i="23"/>
  <c r="C49" i="95"/>
  <c r="C50" i="95" s="1"/>
  <c r="C51" i="95" s="1"/>
  <c r="C52" i="95" s="1"/>
  <c r="C53" i="95" s="1"/>
  <c r="C54" i="95" s="1"/>
  <c r="C55" i="95" s="1"/>
  <c r="C56" i="95" s="1"/>
  <c r="C57" i="95" s="1"/>
  <c r="C58" i="95" s="1"/>
  <c r="C59" i="95" s="1"/>
  <c r="C60" i="95" s="1"/>
  <c r="B149" i="84"/>
  <c r="E45" i="64"/>
  <c r="E76" i="64" s="1"/>
  <c r="E65" i="64" s="1"/>
  <c r="E349" i="45" s="1"/>
  <c r="E84" i="64" s="1"/>
  <c r="D21" i="76"/>
  <c r="D143" i="84"/>
  <c r="O143" i="84" s="1"/>
  <c r="D145" i="84"/>
  <c r="O145" i="84" s="1"/>
  <c r="D149" i="84"/>
  <c r="O149" i="84" s="1"/>
  <c r="D177" i="84"/>
  <c r="O177" i="84" s="1"/>
  <c r="E181" i="84" s="1"/>
  <c r="D188" i="84"/>
  <c r="O188" i="84" s="1"/>
  <c r="J49" i="11"/>
  <c r="K49" i="11" s="1"/>
  <c r="E24" i="15"/>
  <c r="D24" i="15" s="1"/>
  <c r="B28" i="37"/>
  <c r="C36" i="21"/>
  <c r="C90" i="21"/>
  <c r="B43" i="37"/>
  <c r="C37" i="21"/>
  <c r="C91" i="21"/>
  <c r="F79" i="21"/>
  <c r="E102" i="21"/>
  <c r="E100" i="21"/>
  <c r="E36" i="83"/>
  <c r="E32" i="83"/>
  <c r="E37" i="83"/>
  <c r="E35" i="83"/>
  <c r="E33" i="83"/>
  <c r="E34" i="83"/>
  <c r="N37" i="83"/>
  <c r="N35" i="83"/>
  <c r="N33" i="83"/>
  <c r="N36" i="83"/>
  <c r="N32" i="83"/>
  <c r="N34" i="83"/>
  <c r="F37" i="83"/>
  <c r="F35" i="83"/>
  <c r="F33" i="83"/>
  <c r="F36" i="83"/>
  <c r="F34" i="83"/>
  <c r="F32" i="83"/>
  <c r="L36" i="83"/>
  <c r="L34" i="83"/>
  <c r="L32" i="83"/>
  <c r="L33" i="83"/>
  <c r="L37" i="83"/>
  <c r="L35" i="83"/>
  <c r="G35" i="83"/>
  <c r="G36" i="83"/>
  <c r="G34" i="83"/>
  <c r="G32" i="83"/>
  <c r="G37" i="83"/>
  <c r="G33" i="83"/>
  <c r="J37" i="83"/>
  <c r="J35" i="83"/>
  <c r="J33" i="83"/>
  <c r="J36" i="83"/>
  <c r="J34" i="83"/>
  <c r="J32" i="83"/>
  <c r="K37" i="83"/>
  <c r="K33" i="83"/>
  <c r="K36" i="83"/>
  <c r="K34" i="83"/>
  <c r="K32" i="83"/>
  <c r="K35" i="83"/>
  <c r="I34" i="83"/>
  <c r="I37" i="83"/>
  <c r="I35" i="83"/>
  <c r="I33" i="83"/>
  <c r="I36" i="83"/>
  <c r="I32" i="83"/>
  <c r="M36" i="83"/>
  <c r="M32" i="83"/>
  <c r="M37" i="83"/>
  <c r="M35" i="83"/>
  <c r="M33" i="83"/>
  <c r="M34" i="83"/>
  <c r="H36" i="83"/>
  <c r="H34" i="83"/>
  <c r="H32" i="83"/>
  <c r="H37" i="83"/>
  <c r="H35" i="83"/>
  <c r="H33" i="83"/>
  <c r="E19" i="76"/>
  <c r="E59" i="54"/>
  <c r="E120" i="54" s="1"/>
  <c r="K59" i="54"/>
  <c r="K120" i="54" s="1"/>
  <c r="F59" i="54"/>
  <c r="F120" i="54" s="1"/>
  <c r="G59" i="54"/>
  <c r="G120" i="54" s="1"/>
  <c r="J59" i="54"/>
  <c r="J120" i="54" s="1"/>
  <c r="I59" i="54"/>
  <c r="I120" i="54" s="1"/>
  <c r="H59" i="54"/>
  <c r="H120" i="54" s="1"/>
  <c r="E20" i="76"/>
  <c r="J34" i="11"/>
  <c r="E21" i="89"/>
  <c r="E25" i="89"/>
  <c r="K183" i="55"/>
  <c r="K177" i="55"/>
  <c r="G22" i="4"/>
  <c r="G18" i="4"/>
  <c r="G20" i="4"/>
  <c r="E62" i="21"/>
  <c r="E30" i="21"/>
  <c r="E50" i="21"/>
  <c r="E167" i="101" s="1"/>
  <c r="D194" i="84"/>
  <c r="O194" i="84" s="1"/>
  <c r="E198" i="84" s="1"/>
  <c r="D196" i="84"/>
  <c r="G7" i="4"/>
  <c r="K175" i="55"/>
  <c r="E44" i="25"/>
  <c r="E12" i="33"/>
  <c r="E28" i="21"/>
  <c r="E220" i="59"/>
  <c r="E127" i="8" s="1"/>
  <c r="E83" i="45"/>
  <c r="K187" i="55"/>
  <c r="K179" i="55"/>
  <c r="K185" i="55"/>
  <c r="E20" i="89"/>
  <c r="E24" i="89"/>
  <c r="B154" i="21"/>
  <c r="E118" i="57"/>
  <c r="E141" i="57" s="1"/>
  <c r="E144" i="57" s="1"/>
  <c r="E137" i="8" s="1"/>
  <c r="H91" i="39" s="1"/>
  <c r="G8" i="4"/>
  <c r="A16" i="84"/>
  <c r="C69" i="33"/>
  <c r="B59" i="7"/>
  <c r="B59" i="8" s="1"/>
  <c r="B8" i="21"/>
  <c r="C14" i="21"/>
  <c r="C42" i="21"/>
  <c r="B102" i="21"/>
  <c r="B126" i="21"/>
  <c r="B151" i="21"/>
  <c r="E184" i="21"/>
  <c r="G9" i="4"/>
  <c r="K18" i="25"/>
  <c r="J61" i="11"/>
  <c r="K61" i="11" s="1"/>
  <c r="D148" i="84"/>
  <c r="O148" i="84" s="1"/>
  <c r="D169" i="84"/>
  <c r="O169" i="84" s="1"/>
  <c r="D187" i="84"/>
  <c r="O187" i="84" s="1"/>
  <c r="E19" i="15"/>
  <c r="D19" i="15" s="1"/>
  <c r="C23" i="33"/>
  <c r="C74" i="33"/>
  <c r="B55" i="7"/>
  <c r="B55" i="8" s="1"/>
  <c r="C12" i="21"/>
  <c r="C33" i="21"/>
  <c r="B108" i="21"/>
  <c r="B140" i="21"/>
  <c r="B171" i="21"/>
  <c r="F184" i="21"/>
  <c r="F210" i="21"/>
  <c r="J32" i="11"/>
  <c r="J76" i="11"/>
  <c r="K76" i="11" s="1"/>
  <c r="D144" i="84"/>
  <c r="O144" i="84" s="1"/>
  <c r="D147" i="84"/>
  <c r="O147" i="84" s="1"/>
  <c r="D151" i="84"/>
  <c r="O151" i="84" s="1"/>
  <c r="D168" i="84"/>
  <c r="O168" i="84" s="1"/>
  <c r="D176" i="84"/>
  <c r="O176" i="84" s="1"/>
  <c r="E180" i="84" s="1"/>
  <c r="D178" i="84"/>
  <c r="O178" i="84" s="1"/>
  <c r="E182" i="84" s="1"/>
  <c r="D195" i="84"/>
  <c r="E21" i="15"/>
  <c r="D21" i="15" s="1"/>
  <c r="A30" i="84"/>
  <c r="C73" i="33"/>
  <c r="B56" i="7"/>
  <c r="B56" i="8" s="1"/>
  <c r="C66" i="33"/>
  <c r="B61" i="7"/>
  <c r="B61" i="8" s="1"/>
  <c r="E148" i="21"/>
  <c r="E40" i="21"/>
  <c r="B87" i="21"/>
  <c r="B119" i="21"/>
  <c r="B143" i="21"/>
  <c r="A158" i="21"/>
  <c r="B177" i="21"/>
  <c r="G210" i="21"/>
  <c r="J30" i="11"/>
  <c r="J45" i="11"/>
  <c r="K45" i="11" s="1"/>
  <c r="H159" i="55"/>
  <c r="H170" i="55"/>
  <c r="K173" i="55"/>
  <c r="K181" i="55"/>
  <c r="D146" i="84"/>
  <c r="O146" i="84" s="1"/>
  <c r="D150" i="84"/>
  <c r="O150" i="84" s="1"/>
  <c r="D167" i="84"/>
  <c r="O167" i="84" s="1"/>
  <c r="A23" i="84"/>
  <c r="E30" i="15"/>
  <c r="D30" i="15" s="1"/>
  <c r="C70" i="33"/>
  <c r="B58" i="7"/>
  <c r="B58" i="8" s="1"/>
  <c r="C65" i="33"/>
  <c r="B62" i="7"/>
  <c r="B62" i="8" s="1"/>
  <c r="C41" i="21"/>
  <c r="B96" i="21"/>
  <c r="B124" i="21"/>
  <c r="B148" i="21"/>
  <c r="B178" i="21"/>
  <c r="B197" i="21"/>
  <c r="E4" i="33"/>
  <c r="D40" i="33"/>
  <c r="E240" i="77"/>
  <c r="E268" i="77"/>
  <c r="E212" i="77"/>
  <c r="L76" i="64"/>
  <c r="L65" i="64" s="1"/>
  <c r="L84" i="64" s="1"/>
  <c r="E199" i="45"/>
  <c r="E24" i="68"/>
  <c r="E61" i="68"/>
  <c r="E248" i="77"/>
  <c r="E192" i="77"/>
  <c r="E164" i="77"/>
  <c r="E276" i="77"/>
  <c r="E220" i="77"/>
  <c r="E134" i="77"/>
  <c r="E80" i="77"/>
  <c r="E44" i="77"/>
  <c r="E89" i="77"/>
  <c r="E34" i="77"/>
  <c r="E125" i="77"/>
  <c r="E27" i="77"/>
  <c r="E25" i="69"/>
  <c r="E97" i="69"/>
  <c r="E117" i="77"/>
  <c r="E17" i="89"/>
  <c r="E16" i="89"/>
  <c r="E19" i="89"/>
  <c r="E23" i="89"/>
  <c r="E18" i="89"/>
  <c r="E22" i="89"/>
  <c r="F29" i="89"/>
  <c r="E29" i="89"/>
  <c r="E9" i="76" s="1"/>
  <c r="G29" i="89"/>
  <c r="E15" i="89"/>
  <c r="H29" i="89"/>
  <c r="G53" i="23"/>
  <c r="K53" i="23"/>
  <c r="D35" i="84"/>
  <c r="D33" i="84"/>
  <c r="H259" i="46"/>
  <c r="E174" i="59"/>
  <c r="E67" i="8" s="1"/>
  <c r="E88" i="57"/>
  <c r="F76" i="64"/>
  <c r="F65" i="64" s="1"/>
  <c r="F83" i="64" s="1"/>
  <c r="H78" i="64"/>
  <c r="H67" i="64" s="1"/>
  <c r="G76" i="64"/>
  <c r="G65" i="64" s="1"/>
  <c r="G84" i="64" s="1"/>
  <c r="E54" i="57"/>
  <c r="G259" i="46"/>
  <c r="G127" i="8"/>
  <c r="K14" i="25"/>
  <c r="H179" i="54"/>
  <c r="H183" i="54"/>
  <c r="L183" i="54"/>
  <c r="H187" i="54"/>
  <c r="G180" i="54"/>
  <c r="G182" i="54"/>
  <c r="G184" i="54"/>
  <c r="G186" i="54"/>
  <c r="G188" i="54"/>
  <c r="K160" i="55"/>
  <c r="K164" i="55"/>
  <c r="K180" i="54"/>
  <c r="K182" i="54"/>
  <c r="K184" i="54"/>
  <c r="K186" i="54"/>
  <c r="K188" i="54"/>
  <c r="H174" i="55"/>
  <c r="H176" i="55"/>
  <c r="H178" i="55"/>
  <c r="H180" i="55"/>
  <c r="H182" i="55"/>
  <c r="H184" i="55"/>
  <c r="H186" i="55"/>
  <c r="H188" i="55"/>
  <c r="E186" i="59"/>
  <c r="E71" i="8" s="1"/>
  <c r="E190" i="59"/>
  <c r="E87" i="8" s="1"/>
  <c r="E224" i="59"/>
  <c r="E128" i="8" s="1"/>
  <c r="E259" i="46"/>
  <c r="E97" i="57"/>
  <c r="F259" i="46"/>
  <c r="E178" i="59"/>
  <c r="E69" i="8" s="1"/>
  <c r="E41" i="57"/>
  <c r="E43" i="57" s="1"/>
  <c r="E166" i="59"/>
  <c r="E65" i="8" s="1"/>
  <c r="E35" i="45" s="1"/>
  <c r="E198" i="59"/>
  <c r="E89" i="8" s="1"/>
  <c r="F127" i="8"/>
  <c r="E170" i="59"/>
  <c r="E66" i="8" s="1"/>
  <c r="E299" i="45" s="1"/>
  <c r="E182" i="59"/>
  <c r="E70" i="8" s="1"/>
  <c r="E194" i="59"/>
  <c r="E88" i="8" s="1"/>
  <c r="E228" i="59"/>
  <c r="E129" i="8" s="1"/>
  <c r="E98" i="57"/>
  <c r="E59" i="68"/>
  <c r="E321" i="45"/>
  <c r="E260" i="45"/>
  <c r="E245" i="45"/>
  <c r="E196" i="45"/>
  <c r="E181" i="45"/>
  <c r="E128" i="45"/>
  <c r="E113" i="45"/>
  <c r="E39" i="45"/>
  <c r="E305" i="45"/>
  <c r="E94" i="68"/>
  <c r="E20" i="68"/>
  <c r="E303" i="45"/>
  <c r="E261" i="45"/>
  <c r="E246" i="45"/>
  <c r="E197" i="45"/>
  <c r="E129" i="45"/>
  <c r="E114" i="45"/>
  <c r="E55" i="45"/>
  <c r="E40" i="45"/>
  <c r="E22" i="68"/>
  <c r="E180" i="45"/>
  <c r="E112" i="45"/>
  <c r="E95" i="68"/>
  <c r="E57" i="68"/>
  <c r="E21" i="68"/>
  <c r="E319" i="45"/>
  <c r="E304" i="45"/>
  <c r="E262" i="45"/>
  <c r="E179" i="45"/>
  <c r="E130" i="45"/>
  <c r="E56" i="45"/>
  <c r="E41" i="45"/>
  <c r="E58" i="68"/>
  <c r="E195" i="45"/>
  <c r="E96" i="68"/>
  <c r="E320" i="45"/>
  <c r="E244" i="45"/>
  <c r="E57" i="45"/>
  <c r="E106" i="57"/>
  <c r="E112" i="57"/>
  <c r="D14" i="84"/>
  <c r="O14" i="84" s="1"/>
  <c r="O86" i="102" s="1"/>
  <c r="D34" i="84"/>
  <c r="E198" i="69"/>
  <c r="E270" i="69"/>
  <c r="E169" i="69"/>
  <c r="E126" i="69"/>
  <c r="E54" i="69"/>
  <c r="E183" i="45"/>
  <c r="E98" i="68"/>
  <c r="E60" i="68"/>
  <c r="E23" i="68"/>
  <c r="E323" i="45"/>
  <c r="E307" i="45"/>
  <c r="E264" i="45"/>
  <c r="E248" i="45"/>
  <c r="E198" i="45"/>
  <c r="E182" i="45"/>
  <c r="E59" i="45"/>
  <c r="E43" i="45"/>
  <c r="E97" i="68"/>
  <c r="E322" i="45"/>
  <c r="E306" i="45"/>
  <c r="E263" i="45"/>
  <c r="E247" i="45"/>
  <c r="E132" i="45"/>
  <c r="E116" i="45"/>
  <c r="E58" i="45"/>
  <c r="E42" i="45"/>
  <c r="E131" i="45"/>
  <c r="E115" i="45"/>
  <c r="L71" i="8"/>
  <c r="L87" i="8"/>
  <c r="O27" i="84"/>
  <c r="O35" i="84"/>
  <c r="E89" i="57"/>
  <c r="E111" i="57"/>
  <c r="G78" i="64"/>
  <c r="G67" i="64" s="1"/>
  <c r="D19" i="84"/>
  <c r="O26" i="84"/>
  <c r="E91" i="57"/>
  <c r="F236" i="8"/>
  <c r="D13" i="84"/>
  <c r="O13" i="84" s="1"/>
  <c r="O66" i="102" s="1"/>
  <c r="H135" i="8"/>
  <c r="E24" i="57"/>
  <c r="E26" i="57" s="1"/>
  <c r="E47" i="57" s="1"/>
  <c r="O21" i="84"/>
  <c r="D26" i="84"/>
  <c r="N53" i="23"/>
  <c r="D7" i="84"/>
  <c r="O7" i="84" s="1"/>
  <c r="O28" i="102" s="1"/>
  <c r="D8" i="84"/>
  <c r="O8" i="84" s="1"/>
  <c r="O47" i="102" s="1"/>
  <c r="O19" i="84"/>
  <c r="O33" i="84"/>
  <c r="F78" i="64"/>
  <c r="F67" i="64" s="1"/>
  <c r="D20" i="84"/>
  <c r="D21" i="84"/>
  <c r="D27" i="84"/>
  <c r="G160" i="80"/>
  <c r="G159" i="80"/>
  <c r="I25" i="8"/>
  <c r="I246" i="46"/>
  <c r="M25" i="8"/>
  <c r="M246" i="46"/>
  <c r="N119" i="8"/>
  <c r="N77" i="8"/>
  <c r="N120" i="8"/>
  <c r="N78" i="8"/>
  <c r="N79" i="8"/>
  <c r="J47" i="11"/>
  <c r="K47" i="11" s="1"/>
  <c r="J59" i="11"/>
  <c r="K59" i="11" s="1"/>
  <c r="J63" i="11"/>
  <c r="K63" i="11" s="1"/>
  <c r="J74" i="11"/>
  <c r="K74" i="11" s="1"/>
  <c r="J78" i="11"/>
  <c r="K78" i="11" s="1"/>
  <c r="J33" i="8"/>
  <c r="J72" i="64"/>
  <c r="N33" i="8"/>
  <c r="N72" i="64"/>
  <c r="N129" i="8"/>
  <c r="K25" i="8"/>
  <c r="K246" i="46"/>
  <c r="J89" i="8"/>
  <c r="J77" i="11"/>
  <c r="K77" i="11" s="1"/>
  <c r="J75" i="11"/>
  <c r="K75" i="11" s="1"/>
  <c r="J73" i="11"/>
  <c r="K73" i="11" s="1"/>
  <c r="J62" i="11"/>
  <c r="K62" i="11" s="1"/>
  <c r="J60" i="11"/>
  <c r="K60" i="11" s="1"/>
  <c r="J58" i="11"/>
  <c r="K58" i="11" s="1"/>
  <c r="J48" i="11"/>
  <c r="K48" i="11" s="1"/>
  <c r="J46" i="11"/>
  <c r="K46" i="11" s="1"/>
  <c r="J35" i="11"/>
  <c r="J33" i="11"/>
  <c r="J31" i="11"/>
  <c r="L25" i="8"/>
  <c r="L246" i="46"/>
  <c r="L29" i="8"/>
  <c r="N127" i="8"/>
  <c r="M119" i="8"/>
  <c r="M77" i="8"/>
  <c r="M120" i="8"/>
  <c r="M78" i="8"/>
  <c r="J27" i="89"/>
  <c r="J29" i="89" s="1"/>
  <c r="J27" i="8"/>
  <c r="N27" i="89"/>
  <c r="N29" i="89" s="1"/>
  <c r="N27" i="8"/>
  <c r="K43" i="64"/>
  <c r="K41" i="64"/>
  <c r="K78" i="64" s="1"/>
  <c r="K67" i="64" s="1"/>
  <c r="I89" i="8"/>
  <c r="M89" i="8"/>
  <c r="I91" i="8"/>
  <c r="M91" i="8"/>
  <c r="I92" i="8"/>
  <c r="M92" i="8"/>
  <c r="I93" i="8"/>
  <c r="M93" i="8"/>
  <c r="I94" i="8"/>
  <c r="M94" i="8"/>
  <c r="L131" i="8"/>
  <c r="L132" i="8"/>
  <c r="L133" i="8"/>
  <c r="J30" i="81"/>
  <c r="N30" i="81"/>
  <c r="E110" i="57"/>
  <c r="E313" i="59"/>
  <c r="E119" i="57"/>
  <c r="E147" i="57"/>
  <c r="H140" i="8" s="1"/>
  <c r="E25" i="8"/>
  <c r="E15" i="59"/>
  <c r="E17" i="59" s="1"/>
  <c r="E31" i="59"/>
  <c r="K70" i="8"/>
  <c r="K71" i="8"/>
  <c r="J127" i="8"/>
  <c r="D117" i="54"/>
  <c r="K149" i="54"/>
  <c r="K178" i="54"/>
  <c r="H150" i="54"/>
  <c r="H152" i="54"/>
  <c r="H154" i="54"/>
  <c r="G178" i="54"/>
  <c r="P150" i="55"/>
  <c r="H161" i="55" s="1"/>
  <c r="K27" i="89"/>
  <c r="K29" i="89" s="1"/>
  <c r="K27" i="8"/>
  <c r="L43" i="64"/>
  <c r="L70" i="8"/>
  <c r="I88" i="8"/>
  <c r="J91" i="8"/>
  <c r="N91" i="8"/>
  <c r="J92" i="8"/>
  <c r="N92" i="8"/>
  <c r="J93" i="8"/>
  <c r="N93" i="8"/>
  <c r="J94" i="8"/>
  <c r="N94" i="8"/>
  <c r="K127" i="8"/>
  <c r="I129" i="8"/>
  <c r="M129" i="8"/>
  <c r="I131" i="8"/>
  <c r="M131" i="8"/>
  <c r="I132" i="8"/>
  <c r="M132" i="8"/>
  <c r="I133" i="8"/>
  <c r="M133" i="8"/>
  <c r="K30" i="81"/>
  <c r="E307" i="59"/>
  <c r="E302" i="59"/>
  <c r="F25" i="8"/>
  <c r="F246" i="46"/>
  <c r="J25" i="8"/>
  <c r="J246" i="46"/>
  <c r="N25" i="8"/>
  <c r="N246" i="46"/>
  <c r="I65" i="8"/>
  <c r="I66" i="8"/>
  <c r="L129" i="8"/>
  <c r="L150" i="54"/>
  <c r="J151" i="54"/>
  <c r="N151" i="54"/>
  <c r="L152" i="54"/>
  <c r="J153" i="54"/>
  <c r="N153" i="54"/>
  <c r="L154" i="54"/>
  <c r="L185" i="54"/>
  <c r="L30" i="81"/>
  <c r="L27" i="89"/>
  <c r="L29" i="89" s="1"/>
  <c r="L27" i="8"/>
  <c r="I41" i="64"/>
  <c r="I76" i="64" s="1"/>
  <c r="I65" i="64" s="1"/>
  <c r="I43" i="64"/>
  <c r="M41" i="64"/>
  <c r="M76" i="64" s="1"/>
  <c r="M65" i="64" s="1"/>
  <c r="M43" i="64"/>
  <c r="I87" i="8"/>
  <c r="M87" i="8"/>
  <c r="K91" i="8"/>
  <c r="K92" i="8"/>
  <c r="K93" i="8"/>
  <c r="K94" i="8"/>
  <c r="M128" i="8"/>
  <c r="J131" i="8"/>
  <c r="N131" i="8"/>
  <c r="J132" i="8"/>
  <c r="N132" i="8"/>
  <c r="J133" i="8"/>
  <c r="N133" i="8"/>
  <c r="E66" i="57"/>
  <c r="E77" i="57"/>
  <c r="G25" i="8"/>
  <c r="G246" i="46"/>
  <c r="E132" i="57"/>
  <c r="N88" i="8"/>
  <c r="J128" i="8"/>
  <c r="H27" i="64"/>
  <c r="F33" i="8"/>
  <c r="F72" i="64"/>
  <c r="L78" i="64"/>
  <c r="L67" i="64" s="1"/>
  <c r="H72" i="64"/>
  <c r="N149" i="54"/>
  <c r="L149" i="54"/>
  <c r="L151" i="54"/>
  <c r="L153" i="54"/>
  <c r="L177" i="54"/>
  <c r="L179" i="54"/>
  <c r="L187" i="54"/>
  <c r="F145" i="55"/>
  <c r="K145" i="55"/>
  <c r="I145" i="55"/>
  <c r="M145" i="55"/>
  <c r="E145" i="55"/>
  <c r="J145" i="55"/>
  <c r="N145" i="55"/>
  <c r="I27" i="89"/>
  <c r="I29" i="89" s="1"/>
  <c r="I27" i="8"/>
  <c r="M27" i="89"/>
  <c r="M29" i="89" s="1"/>
  <c r="M27" i="8"/>
  <c r="J41" i="64"/>
  <c r="J78" i="64" s="1"/>
  <c r="J67" i="64" s="1"/>
  <c r="N41" i="64"/>
  <c r="N78" i="64" s="1"/>
  <c r="N67" i="64" s="1"/>
  <c r="N69" i="8"/>
  <c r="J70" i="8"/>
  <c r="N70" i="8"/>
  <c r="L91" i="8"/>
  <c r="L92" i="8"/>
  <c r="L93" i="8"/>
  <c r="L94" i="8"/>
  <c r="I127" i="8"/>
  <c r="M127" i="8"/>
  <c r="K131" i="8"/>
  <c r="K132" i="8"/>
  <c r="K133" i="8"/>
  <c r="I30" i="81"/>
  <c r="M30" i="81"/>
  <c r="H25" i="8"/>
  <c r="H246" i="46"/>
  <c r="E96" i="57"/>
  <c r="G65" i="8"/>
  <c r="K65" i="8"/>
  <c r="G66" i="8"/>
  <c r="K66" i="8"/>
  <c r="I69" i="8"/>
  <c r="G70" i="8"/>
  <c r="I70" i="8"/>
  <c r="G71" i="8"/>
  <c r="I71" i="8"/>
  <c r="E204" i="59"/>
  <c r="E109" i="8" s="1"/>
  <c r="E175" i="45" s="1"/>
  <c r="E208" i="59"/>
  <c r="G110" i="8" s="1"/>
  <c r="E212" i="59"/>
  <c r="E112" i="8" s="1"/>
  <c r="E216" i="59"/>
  <c r="E113" i="8" s="1"/>
  <c r="I113" i="8"/>
  <c r="H76" i="64"/>
  <c r="H65" i="64" s="1"/>
  <c r="J149" i="54"/>
  <c r="F150" i="54"/>
  <c r="J150" i="54"/>
  <c r="N150" i="54"/>
  <c r="H181" i="54"/>
  <c r="F152" i="54"/>
  <c r="J152" i="54"/>
  <c r="N152" i="54"/>
  <c r="H185" i="54"/>
  <c r="F154" i="54"/>
  <c r="J154" i="54"/>
  <c r="N154" i="54"/>
  <c r="L181" i="54"/>
  <c r="P152" i="55"/>
  <c r="H163" i="55" s="1"/>
  <c r="P154" i="55"/>
  <c r="H165" i="55" s="1"/>
  <c r="K169" i="55"/>
  <c r="E125" i="57"/>
  <c r="E170" i="45"/>
  <c r="G72" i="64"/>
  <c r="G150" i="54"/>
  <c r="K150" i="54"/>
  <c r="E151" i="54"/>
  <c r="I151" i="54"/>
  <c r="M151" i="54"/>
  <c r="G152" i="54"/>
  <c r="K152" i="54"/>
  <c r="E153" i="54"/>
  <c r="I153" i="54"/>
  <c r="M153" i="54"/>
  <c r="G154" i="54"/>
  <c r="K154" i="54"/>
  <c r="D115" i="54"/>
  <c r="J177" i="54"/>
  <c r="E178" i="54"/>
  <c r="M178" i="54"/>
  <c r="J179" i="54"/>
  <c r="E180" i="54"/>
  <c r="M180" i="54"/>
  <c r="J181" i="54"/>
  <c r="E182" i="54"/>
  <c r="M182" i="54"/>
  <c r="J183" i="54"/>
  <c r="E184" i="54"/>
  <c r="M184" i="54"/>
  <c r="J185" i="54"/>
  <c r="E186" i="54"/>
  <c r="M186" i="54"/>
  <c r="J187" i="54"/>
  <c r="E188" i="54"/>
  <c r="F159" i="55"/>
  <c r="N159" i="55"/>
  <c r="I160" i="55"/>
  <c r="F161" i="55"/>
  <c r="N161" i="55"/>
  <c r="F163" i="55"/>
  <c r="N163" i="55"/>
  <c r="I164" i="55"/>
  <c r="F165" i="55"/>
  <c r="N165" i="55"/>
  <c r="I169" i="55"/>
  <c r="F170" i="55"/>
  <c r="N170" i="55"/>
  <c r="I173" i="55"/>
  <c r="F174" i="55"/>
  <c r="N174" i="55"/>
  <c r="I175" i="55"/>
  <c r="F176" i="55"/>
  <c r="N176" i="55"/>
  <c r="I177" i="55"/>
  <c r="F178" i="55"/>
  <c r="N178" i="55"/>
  <c r="I179" i="55"/>
  <c r="F180" i="55"/>
  <c r="N180" i="55"/>
  <c r="I181" i="55"/>
  <c r="F182" i="55"/>
  <c r="N182" i="55"/>
  <c r="I183" i="55"/>
  <c r="F184" i="55"/>
  <c r="N184" i="55"/>
  <c r="I185" i="55"/>
  <c r="F186" i="55"/>
  <c r="N186" i="55"/>
  <c r="I187" i="55"/>
  <c r="F188" i="55"/>
  <c r="N188" i="55"/>
  <c r="N188" i="54"/>
  <c r="J188" i="54"/>
  <c r="F188" i="54"/>
  <c r="M187" i="54"/>
  <c r="I187" i="54"/>
  <c r="E187" i="54"/>
  <c r="L186" i="54"/>
  <c r="H186" i="54"/>
  <c r="K185" i="54"/>
  <c r="G185" i="54"/>
  <c r="N184" i="54"/>
  <c r="J184" i="54"/>
  <c r="F184" i="54"/>
  <c r="M183" i="54"/>
  <c r="I183" i="54"/>
  <c r="E183" i="54"/>
  <c r="L182" i="54"/>
  <c r="H182" i="54"/>
  <c r="K181" i="54"/>
  <c r="G181" i="54"/>
  <c r="N180" i="54"/>
  <c r="J180" i="54"/>
  <c r="F180" i="54"/>
  <c r="M179" i="54"/>
  <c r="I179" i="54"/>
  <c r="E179" i="54"/>
  <c r="L178" i="54"/>
  <c r="H178" i="54"/>
  <c r="K177" i="54"/>
  <c r="G177" i="54"/>
  <c r="L188" i="54"/>
  <c r="H188" i="54"/>
  <c r="K187" i="54"/>
  <c r="G187" i="54"/>
  <c r="N186" i="54"/>
  <c r="J186" i="54"/>
  <c r="F186" i="54"/>
  <c r="M185" i="54"/>
  <c r="I185" i="54"/>
  <c r="E185" i="54"/>
  <c r="L184" i="54"/>
  <c r="H184" i="54"/>
  <c r="K183" i="54"/>
  <c r="G183" i="54"/>
  <c r="N182" i="54"/>
  <c r="J182" i="54"/>
  <c r="F182" i="54"/>
  <c r="M181" i="54"/>
  <c r="I181" i="54"/>
  <c r="E181" i="54"/>
  <c r="L180" i="54"/>
  <c r="H180" i="54"/>
  <c r="K179" i="54"/>
  <c r="G179" i="54"/>
  <c r="N178" i="54"/>
  <c r="J178" i="54"/>
  <c r="F178" i="54"/>
  <c r="M177" i="54"/>
  <c r="I177" i="54"/>
  <c r="E177" i="54"/>
  <c r="H165" i="54"/>
  <c r="E150" i="54"/>
  <c r="I150" i="54"/>
  <c r="M150" i="54"/>
  <c r="G151" i="54"/>
  <c r="K151" i="54"/>
  <c r="E152" i="54"/>
  <c r="I152" i="54"/>
  <c r="I163" i="54" s="1"/>
  <c r="M152" i="54"/>
  <c r="M163" i="54" s="1"/>
  <c r="G153" i="54"/>
  <c r="K153" i="54"/>
  <c r="E154" i="54"/>
  <c r="P154" i="54" s="1"/>
  <c r="F165" i="54" s="1"/>
  <c r="I154" i="54"/>
  <c r="M154" i="54"/>
  <c r="M165" i="54" s="1"/>
  <c r="F149" i="54"/>
  <c r="F177" i="54"/>
  <c r="N177" i="54"/>
  <c r="I178" i="54"/>
  <c r="F179" i="54"/>
  <c r="N179" i="54"/>
  <c r="I180" i="54"/>
  <c r="F181" i="54"/>
  <c r="N181" i="54"/>
  <c r="I182" i="54"/>
  <c r="F183" i="54"/>
  <c r="N183" i="54"/>
  <c r="I184" i="54"/>
  <c r="F185" i="54"/>
  <c r="N185" i="54"/>
  <c r="I186" i="54"/>
  <c r="F187" i="54"/>
  <c r="N187" i="54"/>
  <c r="I188" i="54"/>
  <c r="E147" i="55"/>
  <c r="P147" i="55" s="1"/>
  <c r="M158" i="55" s="1"/>
  <c r="E151" i="55"/>
  <c r="P151" i="55" s="1"/>
  <c r="K162" i="55" s="1"/>
  <c r="J159" i="55"/>
  <c r="E160" i="55"/>
  <c r="M160" i="55"/>
  <c r="J161" i="55"/>
  <c r="M162" i="55"/>
  <c r="J163" i="55"/>
  <c r="E164" i="55"/>
  <c r="M164" i="55"/>
  <c r="J165" i="55"/>
  <c r="E169" i="55"/>
  <c r="M169" i="55"/>
  <c r="J170" i="55"/>
  <c r="E173" i="55"/>
  <c r="M173" i="55"/>
  <c r="J174" i="55"/>
  <c r="E175" i="55"/>
  <c r="M175" i="55"/>
  <c r="J176" i="55"/>
  <c r="E177" i="55"/>
  <c r="M177" i="55"/>
  <c r="J178" i="55"/>
  <c r="E179" i="55"/>
  <c r="M179" i="55"/>
  <c r="J180" i="55"/>
  <c r="E181" i="55"/>
  <c r="M181" i="55"/>
  <c r="J182" i="55"/>
  <c r="E183" i="55"/>
  <c r="M183" i="55"/>
  <c r="J184" i="55"/>
  <c r="E185" i="55"/>
  <c r="M185" i="55"/>
  <c r="J186" i="55"/>
  <c r="E187" i="55"/>
  <c r="M187" i="55"/>
  <c r="E149" i="54"/>
  <c r="I149" i="54"/>
  <c r="M149" i="54"/>
  <c r="H149" i="54"/>
  <c r="H151" i="54"/>
  <c r="H153" i="54"/>
  <c r="H177" i="54"/>
  <c r="M188" i="55"/>
  <c r="I188" i="55"/>
  <c r="E188" i="55"/>
  <c r="L187" i="55"/>
  <c r="H187" i="55"/>
  <c r="K186" i="55"/>
  <c r="G186" i="55"/>
  <c r="N185" i="55"/>
  <c r="J185" i="55"/>
  <c r="F185" i="55"/>
  <c r="M184" i="55"/>
  <c r="I184" i="55"/>
  <c r="E184" i="55"/>
  <c r="L183" i="55"/>
  <c r="H183" i="55"/>
  <c r="K182" i="55"/>
  <c r="G182" i="55"/>
  <c r="N181" i="55"/>
  <c r="J181" i="55"/>
  <c r="F181" i="55"/>
  <c r="M180" i="55"/>
  <c r="I180" i="55"/>
  <c r="E180" i="55"/>
  <c r="L179" i="55"/>
  <c r="H179" i="55"/>
  <c r="K178" i="55"/>
  <c r="G178" i="55"/>
  <c r="N177" i="55"/>
  <c r="J177" i="55"/>
  <c r="F177" i="55"/>
  <c r="M176" i="55"/>
  <c r="I176" i="55"/>
  <c r="E176" i="55"/>
  <c r="L175" i="55"/>
  <c r="H175" i="55"/>
  <c r="K174" i="55"/>
  <c r="G174" i="55"/>
  <c r="N173" i="55"/>
  <c r="J173" i="55"/>
  <c r="F173" i="55"/>
  <c r="K170" i="55"/>
  <c r="G170" i="55"/>
  <c r="N169" i="55"/>
  <c r="J169" i="55"/>
  <c r="F169" i="55"/>
  <c r="M165" i="55"/>
  <c r="I165" i="55"/>
  <c r="E165" i="55"/>
  <c r="L164" i="55"/>
  <c r="H164" i="55"/>
  <c r="K163" i="55"/>
  <c r="G163" i="55"/>
  <c r="N162" i="55"/>
  <c r="J162" i="55"/>
  <c r="F162" i="55"/>
  <c r="M161" i="55"/>
  <c r="I161" i="55"/>
  <c r="E161" i="55"/>
  <c r="L160" i="55"/>
  <c r="H160" i="55"/>
  <c r="K159" i="55"/>
  <c r="G159" i="55"/>
  <c r="N158" i="55"/>
  <c r="J158" i="55"/>
  <c r="F158" i="55"/>
  <c r="K188" i="55"/>
  <c r="G188" i="55"/>
  <c r="N187" i="55"/>
  <c r="J187" i="55"/>
  <c r="F187" i="55"/>
  <c r="M186" i="55"/>
  <c r="I186" i="55"/>
  <c r="E186" i="55"/>
  <c r="L185" i="55"/>
  <c r="H185" i="55"/>
  <c r="K184" i="55"/>
  <c r="G184" i="55"/>
  <c r="N183" i="55"/>
  <c r="J183" i="55"/>
  <c r="F183" i="55"/>
  <c r="M182" i="55"/>
  <c r="I182" i="55"/>
  <c r="E182" i="55"/>
  <c r="L181" i="55"/>
  <c r="H181" i="55"/>
  <c r="K180" i="55"/>
  <c r="G180" i="55"/>
  <c r="N179" i="55"/>
  <c r="J179" i="55"/>
  <c r="F179" i="55"/>
  <c r="M178" i="55"/>
  <c r="I178" i="55"/>
  <c r="E178" i="55"/>
  <c r="L177" i="55"/>
  <c r="H177" i="55"/>
  <c r="K176" i="55"/>
  <c r="G176" i="55"/>
  <c r="N175" i="55"/>
  <c r="J175" i="55"/>
  <c r="F175" i="55"/>
  <c r="M174" i="55"/>
  <c r="I174" i="55"/>
  <c r="E174" i="55"/>
  <c r="L173" i="55"/>
  <c r="H173" i="55"/>
  <c r="M170" i="55"/>
  <c r="I170" i="55"/>
  <c r="E170" i="55"/>
  <c r="L169" i="55"/>
  <c r="H169" i="55"/>
  <c r="K165" i="55"/>
  <c r="G165" i="55"/>
  <c r="N164" i="55"/>
  <c r="J164" i="55"/>
  <c r="F164" i="55"/>
  <c r="M163" i="55"/>
  <c r="I163" i="55"/>
  <c r="E163" i="55"/>
  <c r="L162" i="55"/>
  <c r="H162" i="55"/>
  <c r="K161" i="55"/>
  <c r="G161" i="55"/>
  <c r="N160" i="55"/>
  <c r="J160" i="55"/>
  <c r="F160" i="55"/>
  <c r="M159" i="55"/>
  <c r="I159" i="55"/>
  <c r="E159" i="55"/>
  <c r="L158" i="55"/>
  <c r="H158" i="55"/>
  <c r="H145" i="55"/>
  <c r="L145" i="55"/>
  <c r="G158" i="55"/>
  <c r="L159" i="55"/>
  <c r="G160" i="55"/>
  <c r="L161" i="55"/>
  <c r="G162" i="55"/>
  <c r="L163" i="55"/>
  <c r="G164" i="55"/>
  <c r="L165" i="55"/>
  <c r="G169" i="55"/>
  <c r="L170" i="55"/>
  <c r="G173" i="55"/>
  <c r="L174" i="55"/>
  <c r="G175" i="55"/>
  <c r="L176" i="55"/>
  <c r="G177" i="55"/>
  <c r="L178" i="55"/>
  <c r="G179" i="55"/>
  <c r="L180" i="55"/>
  <c r="G181" i="55"/>
  <c r="L182" i="55"/>
  <c r="G183" i="55"/>
  <c r="L184" i="55"/>
  <c r="G185" i="55"/>
  <c r="L186" i="55"/>
  <c r="G187" i="55"/>
  <c r="L188" i="55"/>
  <c r="D17" i="33"/>
  <c r="D44" i="33"/>
  <c r="E17" i="33"/>
  <c r="D116" i="55"/>
  <c r="D9" i="33"/>
  <c r="E9" i="33"/>
  <c r="D45" i="23"/>
  <c r="H53" i="23"/>
  <c r="L53" i="23"/>
  <c r="E53" i="23"/>
  <c r="I53" i="23"/>
  <c r="M53" i="23"/>
  <c r="O20" i="84"/>
  <c r="O34" i="84"/>
  <c r="F53" i="23"/>
  <c r="J53" i="23"/>
  <c r="E26" i="33"/>
  <c r="E27" i="33"/>
  <c r="E28" i="33"/>
  <c r="E53" i="33"/>
  <c r="E54" i="33"/>
  <c r="E55" i="33"/>
  <c r="F96" i="21"/>
  <c r="F94" i="21"/>
  <c r="F151" i="21"/>
  <c r="B209" i="21"/>
  <c r="E31" i="15"/>
  <c r="D31" i="15" s="1"/>
  <c r="E29" i="15"/>
  <c r="D29" i="15" s="1"/>
  <c r="E173" i="21"/>
  <c r="E174" i="21" s="1"/>
  <c r="E178" i="21" s="1"/>
  <c r="F114" i="21"/>
  <c r="E171" i="21"/>
  <c r="E172" i="21" s="1"/>
  <c r="E177" i="21" s="1"/>
  <c r="E126" i="21"/>
  <c r="E124" i="21"/>
  <c r="E122" i="21"/>
  <c r="G79" i="21"/>
  <c r="E154" i="21"/>
  <c r="B164" i="21"/>
  <c r="E198" i="21"/>
  <c r="F4" i="33"/>
  <c r="F12" i="33"/>
  <c r="C199" i="21"/>
  <c r="C185" i="21"/>
  <c r="C211" i="21"/>
  <c r="E56" i="21"/>
  <c r="E54" i="21"/>
  <c r="E48" i="21"/>
  <c r="E97" i="101" s="1"/>
  <c r="E46" i="21"/>
  <c r="E28" i="101" s="1"/>
  <c r="E42" i="21"/>
  <c r="E29" i="21"/>
  <c r="C32" i="21"/>
  <c r="B137" i="21"/>
  <c r="B169" i="21"/>
  <c r="D266" i="21"/>
  <c r="C49" i="33"/>
  <c r="E210" i="21"/>
  <c r="B176" i="21"/>
  <c r="B86" i="21"/>
  <c r="C40" i="21"/>
  <c r="B117" i="21"/>
  <c r="B68" i="21"/>
  <c r="B62" i="21"/>
  <c r="B54" i="21"/>
  <c r="B46" i="21"/>
  <c r="C22" i="33"/>
  <c r="E96" i="21"/>
  <c r="E307" i="101" s="1"/>
  <c r="E94" i="21"/>
  <c r="E237" i="101" s="1"/>
  <c r="F19" i="21"/>
  <c r="E41" i="21"/>
  <c r="B94" i="21"/>
  <c r="B100" i="21"/>
  <c r="B106" i="21"/>
  <c r="A111" i="21"/>
  <c r="B122" i="21"/>
  <c r="E133" i="21"/>
  <c r="E151" i="21"/>
  <c r="E169" i="21"/>
  <c r="E170" i="21" s="1"/>
  <c r="E176" i="21" s="1"/>
  <c r="C189" i="21"/>
  <c r="A207" i="21"/>
  <c r="D267" i="21"/>
  <c r="E40" i="33"/>
  <c r="C48" i="33"/>
  <c r="E25" i="15"/>
  <c r="D25" i="15" s="1"/>
  <c r="B6" i="21"/>
  <c r="C34" i="21"/>
  <c r="B48" i="21"/>
  <c r="B50" i="21"/>
  <c r="B56" i="21"/>
  <c r="B58" i="21"/>
  <c r="B64" i="21"/>
  <c r="B70" i="21"/>
  <c r="B72" i="21"/>
  <c r="A76" i="21"/>
  <c r="B165" i="21"/>
  <c r="B173" i="21"/>
  <c r="A181" i="21"/>
  <c r="G184" i="21"/>
  <c r="C190" i="21"/>
  <c r="F198" i="21"/>
  <c r="D268" i="21"/>
  <c r="E20" i="15"/>
  <c r="D20" i="15" s="1"/>
  <c r="B7" i="21"/>
  <c r="C13" i="21"/>
  <c r="A16" i="21"/>
  <c r="B118" i="21"/>
  <c r="B166" i="21"/>
  <c r="B183" i="21"/>
  <c r="A195" i="21"/>
  <c r="D4" i="33"/>
  <c r="D12" i="33"/>
  <c r="C21" i="33"/>
  <c r="H251" i="46" l="1"/>
  <c r="P152" i="54"/>
  <c r="L163" i="54" s="1"/>
  <c r="M113" i="8"/>
  <c r="K129" i="8"/>
  <c r="K89" i="8"/>
  <c r="M88" i="8"/>
  <c r="N89" i="8"/>
  <c r="N43" i="54" s="1"/>
  <c r="K128" i="8"/>
  <c r="L128" i="8"/>
  <c r="H128" i="8"/>
  <c r="P152" i="58"/>
  <c r="G163" i="58" s="1"/>
  <c r="P149" i="58"/>
  <c r="E160" i="58" s="1"/>
  <c r="C62" i="95"/>
  <c r="C63" i="95" s="1"/>
  <c r="C64" i="95" s="1"/>
  <c r="C65" i="95" s="1"/>
  <c r="C66" i="95" s="1"/>
  <c r="C67" i="95" s="1"/>
  <c r="C68" i="95" s="1"/>
  <c r="C69" i="95" s="1"/>
  <c r="C61" i="95"/>
  <c r="P155" i="58"/>
  <c r="G69" i="8"/>
  <c r="K88" i="8"/>
  <c r="J69" i="8"/>
  <c r="I128" i="8"/>
  <c r="L88" i="8"/>
  <c r="L48" i="54" s="1"/>
  <c r="L69" i="8"/>
  <c r="K69" i="8"/>
  <c r="K87" i="8"/>
  <c r="J87" i="8"/>
  <c r="P148" i="58"/>
  <c r="G159" i="58" s="1"/>
  <c r="J137" i="8"/>
  <c r="N128" i="8"/>
  <c r="F65" i="8"/>
  <c r="M65" i="8"/>
  <c r="J67" i="8"/>
  <c r="F88" i="8"/>
  <c r="N112" i="8"/>
  <c r="J110" i="8"/>
  <c r="F110" i="8"/>
  <c r="F129" i="8"/>
  <c r="H87" i="8"/>
  <c r="H129" i="8"/>
  <c r="H70" i="8"/>
  <c r="N87" i="8"/>
  <c r="F69" i="8"/>
  <c r="H69" i="8"/>
  <c r="F71" i="8"/>
  <c r="L113" i="8"/>
  <c r="G129" i="8"/>
  <c r="H109" i="8"/>
  <c r="M66" i="8"/>
  <c r="L65" i="8"/>
  <c r="N65" i="8"/>
  <c r="L127" i="8"/>
  <c r="N113" i="8"/>
  <c r="H242" i="8"/>
  <c r="K113" i="8"/>
  <c r="L112" i="8"/>
  <c r="K109" i="8"/>
  <c r="J112" i="8"/>
  <c r="F89" i="8"/>
  <c r="F44" i="54" s="1"/>
  <c r="H71" i="8"/>
  <c r="G128" i="8"/>
  <c r="M69" i="8"/>
  <c r="J71" i="8"/>
  <c r="M67" i="8"/>
  <c r="G112" i="8"/>
  <c r="L109" i="8"/>
  <c r="L66" i="8"/>
  <c r="F128" i="8"/>
  <c r="G89" i="8"/>
  <c r="N109" i="8"/>
  <c r="H127" i="8"/>
  <c r="N71" i="8"/>
  <c r="N38" i="54" s="1"/>
  <c r="J113" i="8"/>
  <c r="G242" i="8"/>
  <c r="M112" i="8"/>
  <c r="M109" i="8"/>
  <c r="K112" i="8"/>
  <c r="F112" i="8"/>
  <c r="F70" i="8"/>
  <c r="G113" i="8"/>
  <c r="M70" i="8"/>
  <c r="H88" i="8"/>
  <c r="H48" i="54" s="1"/>
  <c r="H176" i="54" s="1"/>
  <c r="J66" i="8"/>
  <c r="G88" i="8"/>
  <c r="H110" i="8"/>
  <c r="J88" i="8"/>
  <c r="J49" i="54" s="1"/>
  <c r="M71" i="8"/>
  <c r="J109" i="8"/>
  <c r="H113" i="8"/>
  <c r="N66" i="8"/>
  <c r="I112" i="8"/>
  <c r="I109" i="8"/>
  <c r="F113" i="8"/>
  <c r="F109" i="8"/>
  <c r="G109" i="8"/>
  <c r="H66" i="8"/>
  <c r="G87" i="8"/>
  <c r="H65" i="8"/>
  <c r="H112" i="8"/>
  <c r="F87" i="8"/>
  <c r="F66" i="8"/>
  <c r="H89" i="8"/>
  <c r="J65" i="8"/>
  <c r="J129" i="8"/>
  <c r="H67" i="8"/>
  <c r="L89" i="8"/>
  <c r="L43" i="54" s="1"/>
  <c r="G233" i="8"/>
  <c r="H150" i="81"/>
  <c r="F71" i="11"/>
  <c r="L9" i="40"/>
  <c r="P51" i="23"/>
  <c r="Y51" i="23"/>
  <c r="L51" i="23" s="1"/>
  <c r="U51" i="23"/>
  <c r="H51" i="23" s="1"/>
  <c r="Z51" i="23"/>
  <c r="M51" i="23" s="1"/>
  <c r="AB51" i="23"/>
  <c r="X51" i="23"/>
  <c r="K51" i="23" s="1"/>
  <c r="T51" i="23"/>
  <c r="G51" i="23" s="1"/>
  <c r="R51" i="23"/>
  <c r="E51" i="23" s="1"/>
  <c r="AA51" i="23"/>
  <c r="N51" i="23" s="1"/>
  <c r="W51" i="23"/>
  <c r="J51" i="23" s="1"/>
  <c r="S51" i="23"/>
  <c r="F51" i="23" s="1"/>
  <c r="V51" i="23"/>
  <c r="I51" i="23" s="1"/>
  <c r="AB50" i="23"/>
  <c r="X50" i="23"/>
  <c r="K50" i="23" s="1"/>
  <c r="T50" i="23"/>
  <c r="G50" i="23" s="1"/>
  <c r="P50" i="23"/>
  <c r="AA50" i="23"/>
  <c r="N50" i="23" s="1"/>
  <c r="W50" i="23"/>
  <c r="J50" i="23" s="1"/>
  <c r="S50" i="23"/>
  <c r="F50" i="23" s="1"/>
  <c r="Y50" i="23"/>
  <c r="L50" i="23" s="1"/>
  <c r="Z50" i="23"/>
  <c r="M50" i="23" s="1"/>
  <c r="V50" i="23"/>
  <c r="I50" i="23" s="1"/>
  <c r="R50" i="23"/>
  <c r="E50" i="23" s="1"/>
  <c r="U50" i="23"/>
  <c r="H50" i="23" s="1"/>
  <c r="U40" i="23"/>
  <c r="H40" i="23" s="1"/>
  <c r="U41" i="23"/>
  <c r="H41" i="23" s="1"/>
  <c r="Z42" i="23"/>
  <c r="M42" i="23" s="1"/>
  <c r="V39" i="23"/>
  <c r="I39" i="23" s="1"/>
  <c r="V44" i="23"/>
  <c r="I44" i="23" s="1"/>
  <c r="X41" i="23"/>
  <c r="K41" i="23" s="1"/>
  <c r="W39" i="23"/>
  <c r="J39" i="23" s="1"/>
  <c r="W42" i="23"/>
  <c r="J42" i="23" s="1"/>
  <c r="T39" i="23"/>
  <c r="G39" i="23" s="1"/>
  <c r="Y42" i="23"/>
  <c r="L42" i="23" s="1"/>
  <c r="Y41" i="23"/>
  <c r="L41" i="23" s="1"/>
  <c r="S43" i="23"/>
  <c r="F43" i="23" s="1"/>
  <c r="AA41" i="23"/>
  <c r="N41" i="23" s="1"/>
  <c r="AA42" i="23"/>
  <c r="N42" i="23" s="1"/>
  <c r="R42" i="23"/>
  <c r="E42" i="23" s="1"/>
  <c r="U42" i="23"/>
  <c r="H42" i="23" s="1"/>
  <c r="U43" i="23"/>
  <c r="H43" i="23" s="1"/>
  <c r="Z44" i="23"/>
  <c r="M44" i="23" s="1"/>
  <c r="V43" i="23"/>
  <c r="I43" i="23" s="1"/>
  <c r="V41" i="23"/>
  <c r="I41" i="23" s="1"/>
  <c r="X43" i="23"/>
  <c r="K43" i="23" s="1"/>
  <c r="W41" i="23"/>
  <c r="J41" i="23" s="1"/>
  <c r="W44" i="23"/>
  <c r="J44" i="23" s="1"/>
  <c r="T41" i="23"/>
  <c r="G41" i="23" s="1"/>
  <c r="Y44" i="23"/>
  <c r="L44" i="23" s="1"/>
  <c r="Y43" i="23"/>
  <c r="L43" i="23" s="1"/>
  <c r="S40" i="23"/>
  <c r="F40" i="23" s="1"/>
  <c r="AA39" i="23"/>
  <c r="N39" i="23" s="1"/>
  <c r="AA44" i="23"/>
  <c r="N44" i="23" s="1"/>
  <c r="R44" i="23"/>
  <c r="E44" i="23" s="1"/>
  <c r="U44" i="23"/>
  <c r="H44" i="23" s="1"/>
  <c r="Z41" i="23"/>
  <c r="M41" i="23" s="1"/>
  <c r="Z39" i="23"/>
  <c r="M39" i="23" s="1"/>
  <c r="V40" i="23"/>
  <c r="I40" i="23" s="1"/>
  <c r="X42" i="23"/>
  <c r="K42" i="23" s="1"/>
  <c r="X40" i="23"/>
  <c r="K40" i="23" s="1"/>
  <c r="W43" i="23"/>
  <c r="J43" i="23" s="1"/>
  <c r="T40" i="23"/>
  <c r="G40" i="23" s="1"/>
  <c r="T43" i="23"/>
  <c r="G43" i="23" s="1"/>
  <c r="Y40" i="23"/>
  <c r="L40" i="23" s="1"/>
  <c r="S39" i="23"/>
  <c r="F39" i="23" s="1"/>
  <c r="S42" i="23"/>
  <c r="F42" i="23" s="1"/>
  <c r="AA43" i="23"/>
  <c r="N43" i="23" s="1"/>
  <c r="R41" i="23"/>
  <c r="E41" i="23" s="1"/>
  <c r="R39" i="23"/>
  <c r="E39" i="23" s="1"/>
  <c r="U39" i="23"/>
  <c r="H39" i="23" s="1"/>
  <c r="Z40" i="23"/>
  <c r="M40" i="23" s="1"/>
  <c r="Z43" i="23"/>
  <c r="M43" i="23" s="1"/>
  <c r="V42" i="23"/>
  <c r="I42" i="23" s="1"/>
  <c r="X39" i="23"/>
  <c r="K39" i="23" s="1"/>
  <c r="X44" i="23"/>
  <c r="K44" i="23" s="1"/>
  <c r="W40" i="23"/>
  <c r="J40" i="23" s="1"/>
  <c r="T44" i="23"/>
  <c r="G44" i="23" s="1"/>
  <c r="T42" i="23"/>
  <c r="G42" i="23" s="1"/>
  <c r="Y39" i="23"/>
  <c r="L39" i="23" s="1"/>
  <c r="S41" i="23"/>
  <c r="F41" i="23" s="1"/>
  <c r="S44" i="23"/>
  <c r="F44" i="23" s="1"/>
  <c r="AA40" i="23"/>
  <c r="N40" i="23" s="1"/>
  <c r="R40" i="23"/>
  <c r="E40" i="23" s="1"/>
  <c r="R43" i="23"/>
  <c r="E43" i="23" s="1"/>
  <c r="G235" i="8"/>
  <c r="E46" i="69"/>
  <c r="H239" i="8" s="1"/>
  <c r="F242" i="8"/>
  <c r="F243" i="8"/>
  <c r="H233" i="8"/>
  <c r="E243" i="8"/>
  <c r="H232" i="8"/>
  <c r="F232" i="8"/>
  <c r="E39" i="101"/>
  <c r="E40" i="101" s="1"/>
  <c r="B80" i="102"/>
  <c r="B285" i="101"/>
  <c r="E318" i="101"/>
  <c r="E319" i="101" s="1"/>
  <c r="E108" i="101"/>
  <c r="E109" i="101" s="1"/>
  <c r="B3" i="102"/>
  <c r="B6" i="101"/>
  <c r="E178" i="101"/>
  <c r="E179" i="101" s="1"/>
  <c r="E248" i="101"/>
  <c r="E249" i="101" s="1"/>
  <c r="B23" i="102"/>
  <c r="B76" i="101"/>
  <c r="B42" i="102"/>
  <c r="B145" i="101"/>
  <c r="B61" i="102"/>
  <c r="B215" i="101"/>
  <c r="O8" i="102"/>
  <c r="M246" i="81"/>
  <c r="M254" i="81"/>
  <c r="M250" i="81"/>
  <c r="M247" i="81"/>
  <c r="M244" i="81"/>
  <c r="M252" i="81"/>
  <c r="M243" i="81"/>
  <c r="M251" i="81"/>
  <c r="E250" i="81"/>
  <c r="E246" i="81"/>
  <c r="E254" i="81"/>
  <c r="E243" i="81"/>
  <c r="E251" i="81"/>
  <c r="E248" i="81"/>
  <c r="E247" i="81"/>
  <c r="L246" i="81"/>
  <c r="L250" i="81"/>
  <c r="L254" i="81"/>
  <c r="L244" i="81"/>
  <c r="L252" i="81"/>
  <c r="L243" i="81"/>
  <c r="L251" i="81"/>
  <c r="K246" i="81"/>
  <c r="K254" i="81"/>
  <c r="K250" i="81"/>
  <c r="K244" i="81"/>
  <c r="K252" i="81"/>
  <c r="K247" i="81"/>
  <c r="N250" i="81"/>
  <c r="N246" i="81"/>
  <c r="N254" i="81"/>
  <c r="N248" i="81"/>
  <c r="N243" i="81"/>
  <c r="N251" i="81"/>
  <c r="N244" i="81"/>
  <c r="F246" i="81"/>
  <c r="F254" i="81"/>
  <c r="F250" i="81"/>
  <c r="F244" i="81"/>
  <c r="F252" i="81"/>
  <c r="F247" i="81"/>
  <c r="F253" i="81"/>
  <c r="K253" i="81"/>
  <c r="I253" i="81"/>
  <c r="N249" i="81"/>
  <c r="L249" i="81"/>
  <c r="F245" i="81"/>
  <c r="K245" i="81"/>
  <c r="I245" i="81"/>
  <c r="E252" i="81"/>
  <c r="H248" i="81"/>
  <c r="G248" i="81"/>
  <c r="N247" i="81"/>
  <c r="I243" i="81"/>
  <c r="J253" i="81"/>
  <c r="H253" i="81"/>
  <c r="M253" i="81"/>
  <c r="G249" i="81"/>
  <c r="E249" i="81"/>
  <c r="J245" i="81"/>
  <c r="H245" i="81"/>
  <c r="M245" i="81"/>
  <c r="I252" i="81"/>
  <c r="L248" i="81"/>
  <c r="K248" i="81"/>
  <c r="F251" i="81"/>
  <c r="L247" i="81"/>
  <c r="I250" i="81"/>
  <c r="I246" i="81"/>
  <c r="I254" i="81"/>
  <c r="I248" i="81"/>
  <c r="I247" i="81"/>
  <c r="I244" i="81"/>
  <c r="H246" i="81"/>
  <c r="H254" i="81"/>
  <c r="H250" i="81"/>
  <c r="H247" i="81"/>
  <c r="H244" i="81"/>
  <c r="H252" i="81"/>
  <c r="H243" i="81"/>
  <c r="H251" i="81"/>
  <c r="G246" i="81"/>
  <c r="G254" i="81"/>
  <c r="G250" i="81"/>
  <c r="G243" i="81"/>
  <c r="G251" i="81"/>
  <c r="G244" i="81"/>
  <c r="G252" i="81"/>
  <c r="G247" i="81"/>
  <c r="J250" i="81"/>
  <c r="J246" i="81"/>
  <c r="J254" i="81"/>
  <c r="J247" i="81"/>
  <c r="J248" i="81"/>
  <c r="J243" i="81"/>
  <c r="J251" i="81"/>
  <c r="N253" i="81"/>
  <c r="L253" i="81"/>
  <c r="F249" i="81"/>
  <c r="K249" i="81"/>
  <c r="I249" i="81"/>
  <c r="N245" i="81"/>
  <c r="L245" i="81"/>
  <c r="J252" i="81"/>
  <c r="M248" i="81"/>
  <c r="E244" i="81"/>
  <c r="K251" i="81"/>
  <c r="F243" i="81"/>
  <c r="G253" i="81"/>
  <c r="E253" i="81"/>
  <c r="J249" i="81"/>
  <c r="H249" i="81"/>
  <c r="M249" i="81"/>
  <c r="G245" i="81"/>
  <c r="E245" i="81"/>
  <c r="N252" i="81"/>
  <c r="F248" i="81"/>
  <c r="J244" i="81"/>
  <c r="I251" i="81"/>
  <c r="K243" i="81"/>
  <c r="A90" i="97"/>
  <c r="J71" i="84"/>
  <c r="A38" i="97"/>
  <c r="N232" i="8"/>
  <c r="A56" i="97"/>
  <c r="E100" i="84"/>
  <c r="G71" i="11"/>
  <c r="J71" i="11" s="1"/>
  <c r="K71" i="11" s="1"/>
  <c r="A21" i="97"/>
  <c r="N166" i="58"/>
  <c r="J160" i="58"/>
  <c r="M166" i="58"/>
  <c r="I166" i="58"/>
  <c r="M160" i="58"/>
  <c r="E166" i="58"/>
  <c r="G166" i="58"/>
  <c r="I160" i="58"/>
  <c r="N160" i="58"/>
  <c r="P154" i="58"/>
  <c r="G165" i="58" s="1"/>
  <c r="F160" i="58"/>
  <c r="E159" i="58"/>
  <c r="F166" i="58"/>
  <c r="E163" i="58"/>
  <c r="P150" i="58"/>
  <c r="P153" i="58"/>
  <c r="E164" i="58" s="1"/>
  <c r="P151" i="58"/>
  <c r="K162" i="58" s="1"/>
  <c r="E165" i="58"/>
  <c r="D62" i="37"/>
  <c r="H104" i="37"/>
  <c r="D104" i="37"/>
  <c r="D42" i="39"/>
  <c r="L79" i="39"/>
  <c r="D69" i="37"/>
  <c r="L104" i="37"/>
  <c r="H79" i="39"/>
  <c r="D75" i="37"/>
  <c r="D49" i="39"/>
  <c r="D79" i="39"/>
  <c r="F67" i="8"/>
  <c r="I236" i="8"/>
  <c r="H145" i="81"/>
  <c r="H146" i="81"/>
  <c r="H143" i="81"/>
  <c r="H149" i="81"/>
  <c r="H144" i="81"/>
  <c r="H142" i="81"/>
  <c r="H140" i="81"/>
  <c r="H147" i="81"/>
  <c r="H148" i="81"/>
  <c r="H151" i="81"/>
  <c r="H141" i="81"/>
  <c r="G150" i="81"/>
  <c r="K64" i="97"/>
  <c r="K81" i="97"/>
  <c r="K46" i="97"/>
  <c r="K98" i="97"/>
  <c r="K34" i="97"/>
  <c r="N98" i="97"/>
  <c r="N64" i="97"/>
  <c r="N34" i="97"/>
  <c r="N81" i="97"/>
  <c r="N46" i="97"/>
  <c r="I46" i="97"/>
  <c r="I98" i="97"/>
  <c r="I64" i="97"/>
  <c r="I34" i="97"/>
  <c r="I81" i="97"/>
  <c r="E98" i="97"/>
  <c r="E64" i="97"/>
  <c r="E34" i="97"/>
  <c r="E81" i="97"/>
  <c r="E46" i="97"/>
  <c r="M98" i="97"/>
  <c r="M64" i="97"/>
  <c r="M34" i="97"/>
  <c r="M81" i="97"/>
  <c r="M46" i="97"/>
  <c r="H81" i="97"/>
  <c r="H46" i="97"/>
  <c r="H34" i="97"/>
  <c r="H98" i="97"/>
  <c r="H64" i="97"/>
  <c r="J98" i="97"/>
  <c r="J64" i="97"/>
  <c r="J34" i="97"/>
  <c r="J81" i="97"/>
  <c r="J46" i="97"/>
  <c r="F98" i="97"/>
  <c r="F64" i="97"/>
  <c r="F34" i="97"/>
  <c r="F81" i="97"/>
  <c r="F46" i="97"/>
  <c r="G98" i="97"/>
  <c r="G34" i="97"/>
  <c r="G81" i="97"/>
  <c r="G46" i="97"/>
  <c r="G64" i="97"/>
  <c r="L81" i="97"/>
  <c r="L46" i="97"/>
  <c r="L98" i="97"/>
  <c r="L64" i="97"/>
  <c r="L34" i="97"/>
  <c r="M102" i="54"/>
  <c r="J102" i="54"/>
  <c r="K102" i="54"/>
  <c r="F102" i="54"/>
  <c r="E102" i="54"/>
  <c r="N102" i="54"/>
  <c r="H102" i="54"/>
  <c r="G102" i="54"/>
  <c r="I102" i="54"/>
  <c r="G142" i="81"/>
  <c r="G140" i="81"/>
  <c r="G146" i="81"/>
  <c r="G151" i="81"/>
  <c r="G141" i="81"/>
  <c r="G144" i="81"/>
  <c r="G143" i="81"/>
  <c r="G149" i="81"/>
  <c r="G148" i="81"/>
  <c r="G145" i="81"/>
  <c r="M148" i="81"/>
  <c r="G147" i="81"/>
  <c r="F147" i="81"/>
  <c r="E310" i="59"/>
  <c r="J232" i="8"/>
  <c r="E151" i="81"/>
  <c r="F146" i="81"/>
  <c r="E142" i="81"/>
  <c r="E143" i="81"/>
  <c r="E144" i="81"/>
  <c r="N147" i="81"/>
  <c r="E141" i="81"/>
  <c r="E146" i="81"/>
  <c r="E147" i="81"/>
  <c r="E145" i="81"/>
  <c r="E149" i="81"/>
  <c r="E150" i="81"/>
  <c r="E148" i="81"/>
  <c r="E140" i="81"/>
  <c r="F148" i="81"/>
  <c r="E248" i="59"/>
  <c r="F149" i="81"/>
  <c r="M39" i="54"/>
  <c r="J147" i="81"/>
  <c r="N67" i="8"/>
  <c r="M38" i="54"/>
  <c r="A114" i="97"/>
  <c r="M117" i="97"/>
  <c r="M103" i="97"/>
  <c r="M52" i="97"/>
  <c r="M24" i="97"/>
  <c r="M144" i="97"/>
  <c r="M137" i="97"/>
  <c r="M124" i="97"/>
  <c r="M76" i="97"/>
  <c r="M93" i="97"/>
  <c r="M69" i="97"/>
  <c r="M41" i="97"/>
  <c r="M59" i="97"/>
  <c r="M130" i="97"/>
  <c r="M110" i="97"/>
  <c r="M29" i="97"/>
  <c r="M86" i="97"/>
  <c r="G93" i="97"/>
  <c r="G69" i="97"/>
  <c r="G41" i="97"/>
  <c r="G130" i="97"/>
  <c r="G110" i="97"/>
  <c r="G86" i="97"/>
  <c r="G59" i="97"/>
  <c r="G29" i="97"/>
  <c r="G117" i="97"/>
  <c r="G103" i="97"/>
  <c r="G52" i="97"/>
  <c r="G24" i="97"/>
  <c r="G144" i="97"/>
  <c r="G137" i="97"/>
  <c r="G76" i="97"/>
  <c r="G124" i="97"/>
  <c r="D370" i="45"/>
  <c r="A73" i="97"/>
  <c r="F144" i="97"/>
  <c r="F137" i="97"/>
  <c r="F124" i="97"/>
  <c r="F76" i="97"/>
  <c r="F93" i="97"/>
  <c r="F69" i="97"/>
  <c r="F41" i="97"/>
  <c r="F130" i="97"/>
  <c r="F110" i="97"/>
  <c r="F86" i="97"/>
  <c r="F59" i="97"/>
  <c r="F29" i="97"/>
  <c r="F52" i="97"/>
  <c r="F117" i="97"/>
  <c r="F103" i="97"/>
  <c r="F24" i="97"/>
  <c r="K93" i="97"/>
  <c r="K69" i="97"/>
  <c r="K41" i="97"/>
  <c r="K130" i="97"/>
  <c r="K110" i="97"/>
  <c r="K86" i="97"/>
  <c r="K59" i="97"/>
  <c r="K29" i="97"/>
  <c r="K117" i="97"/>
  <c r="K103" i="97"/>
  <c r="K52" i="97"/>
  <c r="K24" i="97"/>
  <c r="K137" i="97"/>
  <c r="K144" i="97"/>
  <c r="K76" i="97"/>
  <c r="K124" i="97"/>
  <c r="A107" i="97"/>
  <c r="E117" i="97"/>
  <c r="E103" i="97"/>
  <c r="E52" i="97"/>
  <c r="E144" i="97"/>
  <c r="E137" i="97"/>
  <c r="E124" i="97"/>
  <c r="E76" i="97"/>
  <c r="E93" i="97"/>
  <c r="E69" i="97"/>
  <c r="E41" i="97"/>
  <c r="E130" i="97"/>
  <c r="E110" i="97"/>
  <c r="E24" i="97"/>
  <c r="E86" i="97"/>
  <c r="E59" i="97"/>
  <c r="E29" i="97"/>
  <c r="J144" i="97"/>
  <c r="J137" i="97"/>
  <c r="J124" i="97"/>
  <c r="J76" i="97"/>
  <c r="J93" i="97"/>
  <c r="J69" i="97"/>
  <c r="J41" i="97"/>
  <c r="J130" i="97"/>
  <c r="J110" i="97"/>
  <c r="J86" i="97"/>
  <c r="J59" i="97"/>
  <c r="J29" i="97"/>
  <c r="J117" i="97"/>
  <c r="J103" i="97"/>
  <c r="J24" i="97"/>
  <c r="J52" i="97"/>
  <c r="H130" i="97"/>
  <c r="H110" i="97"/>
  <c r="H86" i="97"/>
  <c r="H59" i="97"/>
  <c r="H29" i="97"/>
  <c r="H117" i="97"/>
  <c r="H103" i="97"/>
  <c r="H52" i="97"/>
  <c r="H24" i="97"/>
  <c r="H144" i="97"/>
  <c r="H137" i="97"/>
  <c r="H124" i="97"/>
  <c r="H76" i="97"/>
  <c r="H93" i="97"/>
  <c r="H69" i="97"/>
  <c r="H41" i="97"/>
  <c r="A121" i="97"/>
  <c r="I117" i="97"/>
  <c r="I103" i="97"/>
  <c r="I52" i="97"/>
  <c r="I144" i="97"/>
  <c r="I137" i="97"/>
  <c r="I124" i="97"/>
  <c r="I76" i="97"/>
  <c r="I93" i="97"/>
  <c r="I69" i="97"/>
  <c r="I41" i="97"/>
  <c r="I130" i="97"/>
  <c r="I110" i="97"/>
  <c r="I86" i="97"/>
  <c r="I29" i="97"/>
  <c r="I59" i="97"/>
  <c r="I24" i="97"/>
  <c r="N144" i="97"/>
  <c r="N137" i="97"/>
  <c r="N124" i="97"/>
  <c r="N76" i="97"/>
  <c r="N93" i="97"/>
  <c r="N69" i="97"/>
  <c r="N41" i="97"/>
  <c r="N130" i="97"/>
  <c r="N110" i="97"/>
  <c r="N86" i="97"/>
  <c r="N59" i="97"/>
  <c r="N29" i="97"/>
  <c r="N117" i="97"/>
  <c r="N103" i="97"/>
  <c r="N24" i="97"/>
  <c r="N52" i="97"/>
  <c r="L130" i="97"/>
  <c r="L110" i="97"/>
  <c r="L86" i="97"/>
  <c r="L59" i="97"/>
  <c r="L29" i="97"/>
  <c r="L117" i="97"/>
  <c r="L103" i="97"/>
  <c r="L52" i="97"/>
  <c r="L24" i="97"/>
  <c r="L144" i="97"/>
  <c r="L137" i="97"/>
  <c r="L124" i="97"/>
  <c r="L76" i="97"/>
  <c r="L69" i="97"/>
  <c r="L41" i="97"/>
  <c r="L93" i="97"/>
  <c r="F143" i="81"/>
  <c r="F145" i="81"/>
  <c r="F151" i="81"/>
  <c r="F150" i="81"/>
  <c r="F142" i="81"/>
  <c r="F141" i="81"/>
  <c r="F140" i="81"/>
  <c r="F144" i="81"/>
  <c r="L150" i="81"/>
  <c r="H38" i="54"/>
  <c r="L110" i="8"/>
  <c r="F240" i="8"/>
  <c r="E28" i="72"/>
  <c r="E182" i="8" s="1"/>
  <c r="E48" i="97" s="1"/>
  <c r="E21" i="33"/>
  <c r="E249" i="59"/>
  <c r="E156" i="84"/>
  <c r="F74" i="33" s="1"/>
  <c r="E153" i="84"/>
  <c r="F62" i="33" s="1"/>
  <c r="E157" i="84"/>
  <c r="F73" i="33" s="1"/>
  <c r="E154" i="84"/>
  <c r="E159" i="84"/>
  <c r="F69" i="33" s="1"/>
  <c r="E160" i="84"/>
  <c r="F66" i="33" s="1"/>
  <c r="E158" i="84"/>
  <c r="F70" i="33" s="1"/>
  <c r="E155" i="84"/>
  <c r="F60" i="33" s="1"/>
  <c r="E161" i="84"/>
  <c r="F65" i="33" s="1"/>
  <c r="E171" i="84"/>
  <c r="F23" i="33" s="1"/>
  <c r="E172" i="84"/>
  <c r="F22" i="33" s="1"/>
  <c r="E173" i="84"/>
  <c r="F21" i="33" s="1"/>
  <c r="O196" i="84"/>
  <c r="E200" i="84" s="1"/>
  <c r="F55" i="33" s="1"/>
  <c r="O195" i="84"/>
  <c r="E199" i="84" s="1"/>
  <c r="F53" i="33"/>
  <c r="E191" i="84"/>
  <c r="F48" i="33" s="1"/>
  <c r="E190" i="84"/>
  <c r="F49" i="33" s="1"/>
  <c r="F28" i="33"/>
  <c r="F27" i="33"/>
  <c r="F26" i="33"/>
  <c r="B235" i="7"/>
  <c r="B235" i="8" s="1"/>
  <c r="J148" i="81"/>
  <c r="I233" i="8"/>
  <c r="E39" i="54"/>
  <c r="K236" i="8"/>
  <c r="E257" i="59"/>
  <c r="J149" i="81"/>
  <c r="E38" i="54"/>
  <c r="E252" i="59"/>
  <c r="E304" i="59"/>
  <c r="E253" i="59"/>
  <c r="H39" i="54"/>
  <c r="E33" i="59"/>
  <c r="E72" i="64"/>
  <c r="L232" i="8"/>
  <c r="J239" i="8"/>
  <c r="E49" i="54"/>
  <c r="F39" i="54"/>
  <c r="J143" i="81"/>
  <c r="F38" i="54"/>
  <c r="I151" i="81"/>
  <c r="J144" i="81"/>
  <c r="J140" i="81"/>
  <c r="J141" i="81"/>
  <c r="J145" i="81"/>
  <c r="J151" i="81"/>
  <c r="L146" i="81"/>
  <c r="L141" i="81"/>
  <c r="J38" i="54"/>
  <c r="E48" i="54"/>
  <c r="E176" i="54" s="1"/>
  <c r="E23" i="33"/>
  <c r="L148" i="81"/>
  <c r="L149" i="81"/>
  <c r="E34" i="54"/>
  <c r="C55" i="4"/>
  <c r="E150" i="21"/>
  <c r="L143" i="81"/>
  <c r="H44" i="54"/>
  <c r="M146" i="81"/>
  <c r="M147" i="81"/>
  <c r="E78" i="64"/>
  <c r="E67" i="64" s="1"/>
  <c r="E348" i="45" s="1"/>
  <c r="E351" i="45" s="1"/>
  <c r="F235" i="8"/>
  <c r="E237" i="59"/>
  <c r="D98" i="72"/>
  <c r="D377" i="45"/>
  <c r="D202" i="46"/>
  <c r="E245" i="59"/>
  <c r="B159" i="7"/>
  <c r="B159" i="8" s="1"/>
  <c r="D361" i="45"/>
  <c r="B42" i="72"/>
  <c r="D104" i="72"/>
  <c r="B313" i="77"/>
  <c r="G121" i="8"/>
  <c r="G80" i="8"/>
  <c r="E80" i="8"/>
  <c r="E121" i="8"/>
  <c r="J121" i="8"/>
  <c r="J80" i="8"/>
  <c r="K121" i="8"/>
  <c r="K80" i="8"/>
  <c r="I121" i="8"/>
  <c r="I80" i="8"/>
  <c r="H121" i="8"/>
  <c r="H80" i="8"/>
  <c r="L121" i="8"/>
  <c r="L80" i="8"/>
  <c r="F121" i="8"/>
  <c r="F80" i="8"/>
  <c r="K145" i="81"/>
  <c r="I78" i="64"/>
  <c r="I67" i="64" s="1"/>
  <c r="F102" i="8"/>
  <c r="N71" i="84"/>
  <c r="F34" i="54"/>
  <c r="G44" i="54"/>
  <c r="G49" i="54"/>
  <c r="N39" i="54"/>
  <c r="G43" i="54"/>
  <c r="I142" i="81"/>
  <c r="I239" i="8"/>
  <c r="H74" i="46"/>
  <c r="K140" i="81"/>
  <c r="K150" i="81"/>
  <c r="K149" i="81"/>
  <c r="N140" i="81"/>
  <c r="K143" i="81"/>
  <c r="K142" i="81"/>
  <c r="K146" i="81"/>
  <c r="K144" i="81"/>
  <c r="K148" i="81"/>
  <c r="N146" i="81"/>
  <c r="K141" i="81"/>
  <c r="K151" i="81"/>
  <c r="N145" i="81"/>
  <c r="N141" i="81"/>
  <c r="K147" i="81"/>
  <c r="N151" i="81"/>
  <c r="B158" i="7"/>
  <c r="B158" i="8" s="1"/>
  <c r="B217" i="7"/>
  <c r="B217" i="8" s="1"/>
  <c r="B149" i="77"/>
  <c r="B215" i="7"/>
  <c r="B215" i="8" s="1"/>
  <c r="D211" i="46"/>
  <c r="B149" i="69"/>
  <c r="D236" i="46"/>
  <c r="D88" i="72"/>
  <c r="A84" i="84"/>
  <c r="B26" i="84"/>
  <c r="H43" i="54"/>
  <c r="H174" i="54" s="1"/>
  <c r="E256" i="59"/>
  <c r="C81" i="33"/>
  <c r="B216" i="7"/>
  <c r="B216" i="8" s="1"/>
  <c r="C38" i="32"/>
  <c r="D360" i="45"/>
  <c r="D224" i="46"/>
  <c r="B193" i="7"/>
  <c r="B193" i="8" s="1"/>
  <c r="B160" i="7"/>
  <c r="B160" i="8" s="1"/>
  <c r="D82" i="72"/>
  <c r="D120" i="83"/>
  <c r="B329" i="77"/>
  <c r="B184" i="7"/>
  <c r="B184" i="8" s="1"/>
  <c r="M242" i="8"/>
  <c r="E67" i="72"/>
  <c r="B228" i="45"/>
  <c r="B275" i="59"/>
  <c r="B19" i="7"/>
  <c r="B19" i="8" s="1"/>
  <c r="D76" i="72"/>
  <c r="B13" i="84"/>
  <c r="B242" i="7"/>
  <c r="B242" i="8" s="1"/>
  <c r="B228" i="7"/>
  <c r="B228" i="8" s="1"/>
  <c r="D110" i="72"/>
  <c r="B90" i="46"/>
  <c r="L240" i="8"/>
  <c r="J150" i="81"/>
  <c r="J146" i="81"/>
  <c r="K242" i="8"/>
  <c r="K235" i="8"/>
  <c r="J142" i="81"/>
  <c r="J240" i="8"/>
  <c r="G236" i="8"/>
  <c r="E94" i="69"/>
  <c r="M149" i="81"/>
  <c r="I140" i="81"/>
  <c r="M145" i="81"/>
  <c r="M142" i="81"/>
  <c r="I149" i="81"/>
  <c r="L147" i="81"/>
  <c r="L144" i="81"/>
  <c r="N236" i="8"/>
  <c r="E309" i="59"/>
  <c r="E22" i="33"/>
  <c r="M40" i="84"/>
  <c r="F140" i="8"/>
  <c r="G102" i="21"/>
  <c r="G100" i="21"/>
  <c r="I148" i="81"/>
  <c r="M141" i="81"/>
  <c r="M150" i="81"/>
  <c r="M144" i="81"/>
  <c r="M140" i="81"/>
  <c r="M143" i="81"/>
  <c r="M151" i="81"/>
  <c r="L140" i="81"/>
  <c r="L142" i="81"/>
  <c r="L151" i="81"/>
  <c r="L145" i="81"/>
  <c r="I242" i="8"/>
  <c r="E303" i="59"/>
  <c r="K233" i="8"/>
  <c r="E236" i="59"/>
  <c r="E240" i="59"/>
  <c r="F102" i="21"/>
  <c r="F103" i="21" s="1"/>
  <c r="F100" i="21"/>
  <c r="E74" i="46"/>
  <c r="E43" i="54"/>
  <c r="E174" i="54" s="1"/>
  <c r="G71" i="84"/>
  <c r="G232" i="8"/>
  <c r="F49" i="54"/>
  <c r="E44" i="54"/>
  <c r="F74" i="46"/>
  <c r="H34" i="54"/>
  <c r="E240" i="45"/>
  <c r="H87" i="84" s="1"/>
  <c r="F48" i="54"/>
  <c r="F176" i="54" s="1"/>
  <c r="E233" i="59"/>
  <c r="D80" i="33"/>
  <c r="D79" i="33"/>
  <c r="L59" i="54"/>
  <c r="L120" i="54" s="1"/>
  <c r="M239" i="8"/>
  <c r="N239" i="8"/>
  <c r="N240" i="8"/>
  <c r="K240" i="8"/>
  <c r="N110" i="8"/>
  <c r="H82" i="8"/>
  <c r="E97" i="59"/>
  <c r="L83" i="64"/>
  <c r="L86" i="64" s="1"/>
  <c r="L34" i="8" s="1"/>
  <c r="G171" i="8"/>
  <c r="G74" i="46"/>
  <c r="L71" i="84"/>
  <c r="M100" i="84"/>
  <c r="F62" i="21"/>
  <c r="F64" i="21"/>
  <c r="F65" i="21" s="1"/>
  <c r="E108" i="45"/>
  <c r="H55" i="84" s="1"/>
  <c r="E123" i="69"/>
  <c r="E124" i="69" s="1"/>
  <c r="E128" i="69" s="1"/>
  <c r="E140" i="69" s="1"/>
  <c r="E236" i="8"/>
  <c r="F233" i="8"/>
  <c r="F50" i="21"/>
  <c r="E242" i="8"/>
  <c r="H236" i="8"/>
  <c r="G48" i="54"/>
  <c r="G176" i="54" s="1"/>
  <c r="H39" i="55"/>
  <c r="H71" i="84"/>
  <c r="E12" i="68"/>
  <c r="F113" i="84" s="1"/>
  <c r="E244" i="59"/>
  <c r="E232" i="59"/>
  <c r="H33" i="54"/>
  <c r="H170" i="54" s="1"/>
  <c r="H38" i="55"/>
  <c r="H172" i="55" s="1"/>
  <c r="E49" i="68"/>
  <c r="J39" i="54"/>
  <c r="M34" i="54"/>
  <c r="E40" i="84"/>
  <c r="E93" i="59"/>
  <c r="E101" i="59"/>
  <c r="E85" i="59"/>
  <c r="E117" i="59"/>
  <c r="E105" i="59"/>
  <c r="E109" i="59"/>
  <c r="E89" i="59"/>
  <c r="E113" i="59"/>
  <c r="E232" i="8"/>
  <c r="N32" i="84"/>
  <c r="N132" i="84"/>
  <c r="E242" i="59"/>
  <c r="E234" i="59"/>
  <c r="E238" i="59"/>
  <c r="E246" i="59"/>
  <c r="E254" i="59"/>
  <c r="E258" i="59"/>
  <c r="E250" i="59"/>
  <c r="N39" i="85"/>
  <c r="M102" i="8"/>
  <c r="F55" i="84"/>
  <c r="E251" i="46"/>
  <c r="G83" i="64"/>
  <c r="G86" i="64" s="1"/>
  <c r="G34" i="8" s="1"/>
  <c r="F251" i="46"/>
  <c r="G137" i="8"/>
  <c r="G135" i="8"/>
  <c r="G251" i="46"/>
  <c r="M48" i="54"/>
  <c r="M43" i="54"/>
  <c r="J43" i="54"/>
  <c r="M38" i="55"/>
  <c r="M172" i="55" s="1"/>
  <c r="J48" i="54"/>
  <c r="N142" i="84"/>
  <c r="N166" i="84"/>
  <c r="L166" i="84"/>
  <c r="L142" i="84"/>
  <c r="I38" i="55"/>
  <c r="K48" i="54"/>
  <c r="N48" i="54"/>
  <c r="I43" i="54"/>
  <c r="L67" i="8"/>
  <c r="N7" i="8"/>
  <c r="N122" i="84"/>
  <c r="N86" i="84"/>
  <c r="M33" i="54"/>
  <c r="G142" i="84"/>
  <c r="G166" i="84"/>
  <c r="E166" i="84"/>
  <c r="E142" i="84"/>
  <c r="A120" i="84"/>
  <c r="B332" i="77"/>
  <c r="B316" i="77"/>
  <c r="C47" i="32"/>
  <c r="B34" i="84"/>
  <c r="D239" i="46"/>
  <c r="D227" i="46"/>
  <c r="D214" i="46"/>
  <c r="B163" i="46"/>
  <c r="B233" i="77"/>
  <c r="B42" i="68"/>
  <c r="C58" i="4"/>
  <c r="B22" i="7"/>
  <c r="B22" i="8" s="1"/>
  <c r="B290" i="59"/>
  <c r="A37" i="84"/>
  <c r="B19" i="84"/>
  <c r="D233" i="46"/>
  <c r="D221" i="46"/>
  <c r="D208" i="46"/>
  <c r="D95" i="72"/>
  <c r="B14" i="45"/>
  <c r="B224" i="7"/>
  <c r="B224" i="8" s="1"/>
  <c r="B209" i="7"/>
  <c r="B209" i="8" s="1"/>
  <c r="B174" i="7"/>
  <c r="B174" i="8" s="1"/>
  <c r="D101" i="72"/>
  <c r="B3" i="72"/>
  <c r="B5" i="69"/>
  <c r="D367" i="45"/>
  <c r="B232" i="7"/>
  <c r="B232" i="8" s="1"/>
  <c r="B208" i="7"/>
  <c r="B208" i="8" s="1"/>
  <c r="B148" i="7"/>
  <c r="B148" i="8" s="1"/>
  <c r="B16" i="7"/>
  <c r="B16" i="8" s="1"/>
  <c r="B6" i="84"/>
  <c r="B15" i="77"/>
  <c r="D107" i="72"/>
  <c r="D79" i="72"/>
  <c r="D374" i="45"/>
  <c r="D355" i="45"/>
  <c r="B260" i="59"/>
  <c r="B207" i="7"/>
  <c r="B207" i="8" s="1"/>
  <c r="B181" i="7"/>
  <c r="B181" i="8" s="1"/>
  <c r="B169" i="7"/>
  <c r="B169" i="8" s="1"/>
  <c r="B147" i="7"/>
  <c r="B147" i="8" s="1"/>
  <c r="B19" i="23"/>
  <c r="B18" i="23"/>
  <c r="D58" i="83" s="1"/>
  <c r="B17" i="23"/>
  <c r="D46" i="83" s="1"/>
  <c r="D199" i="46"/>
  <c r="B4" i="46"/>
  <c r="B326" i="77"/>
  <c r="B310" i="77"/>
  <c r="D85" i="72"/>
  <c r="D73" i="72"/>
  <c r="D354" i="45"/>
  <c r="C53" i="4"/>
  <c r="B239" i="7"/>
  <c r="B239" i="8" s="1"/>
  <c r="B190" i="7"/>
  <c r="B190" i="8" s="1"/>
  <c r="B146" i="7"/>
  <c r="B146" i="8" s="1"/>
  <c r="C29" i="32"/>
  <c r="I33" i="54"/>
  <c r="K38" i="55"/>
  <c r="K172" i="55" s="1"/>
  <c r="J38" i="55"/>
  <c r="J172" i="55" s="1"/>
  <c r="K43" i="54"/>
  <c r="L33" i="54"/>
  <c r="L38" i="55"/>
  <c r="L172" i="55" s="1"/>
  <c r="E267" i="69"/>
  <c r="N5" i="84"/>
  <c r="N12" i="84"/>
  <c r="N39" i="84"/>
  <c r="N99" i="84"/>
  <c r="F142" i="84"/>
  <c r="F166" i="84"/>
  <c r="K142" i="84"/>
  <c r="K166" i="84"/>
  <c r="I166" i="84"/>
  <c r="I142" i="84"/>
  <c r="B90" i="84"/>
  <c r="B103" i="84"/>
  <c r="E153" i="21"/>
  <c r="K33" i="54"/>
  <c r="M135" i="8"/>
  <c r="N33" i="54"/>
  <c r="J33" i="54"/>
  <c r="N38" i="55"/>
  <c r="N172" i="55" s="1"/>
  <c r="I48" i="54"/>
  <c r="G240" i="8"/>
  <c r="N18" i="84"/>
  <c r="N25" i="84"/>
  <c r="N54" i="84"/>
  <c r="N112" i="84"/>
  <c r="J142" i="84"/>
  <c r="J166" i="84"/>
  <c r="H166" i="84"/>
  <c r="H142" i="84"/>
  <c r="M166" i="84"/>
  <c r="M142" i="84"/>
  <c r="B58" i="84"/>
  <c r="B43" i="84"/>
  <c r="B74" i="84"/>
  <c r="B63" i="46"/>
  <c r="D103" i="72"/>
  <c r="D369" i="45"/>
  <c r="D359" i="45"/>
  <c r="B162" i="45"/>
  <c r="B154" i="7"/>
  <c r="B154" i="8" s="1"/>
  <c r="B18" i="7"/>
  <c r="B18" i="8" s="1"/>
  <c r="A68" i="84"/>
  <c r="B8" i="84"/>
  <c r="D109" i="72"/>
  <c r="D81" i="72"/>
  <c r="D376" i="45"/>
  <c r="D358" i="45"/>
  <c r="B270" i="59"/>
  <c r="C90" i="4"/>
  <c r="B183" i="7"/>
  <c r="B183" i="8" s="1"/>
  <c r="B171" i="7"/>
  <c r="B171" i="8" s="1"/>
  <c r="D201" i="46"/>
  <c r="B328" i="77"/>
  <c r="B312" i="77"/>
  <c r="D87" i="72"/>
  <c r="D75" i="72"/>
  <c r="B30" i="72"/>
  <c r="B192" i="7"/>
  <c r="B192" i="8" s="1"/>
  <c r="B156" i="7"/>
  <c r="B156" i="8" s="1"/>
  <c r="C35" i="32"/>
  <c r="B21" i="84"/>
  <c r="D235" i="46"/>
  <c r="D223" i="46"/>
  <c r="D210" i="46"/>
  <c r="B105" i="77"/>
  <c r="D97" i="72"/>
  <c r="B226" i="7"/>
  <c r="B226" i="8" s="1"/>
  <c r="B176" i="7"/>
  <c r="B176" i="8" s="1"/>
  <c r="B155" i="7"/>
  <c r="B155" i="8" s="1"/>
  <c r="H248" i="46"/>
  <c r="E83" i="64"/>
  <c r="E86" i="64" s="1"/>
  <c r="E34" i="8" s="1"/>
  <c r="F84" i="64"/>
  <c r="F86" i="64" s="1"/>
  <c r="F34" i="8" s="1"/>
  <c r="E308" i="45"/>
  <c r="E310" i="45" s="1"/>
  <c r="F96" i="8"/>
  <c r="E133" i="45"/>
  <c r="E135" i="45" s="1"/>
  <c r="E184" i="45"/>
  <c r="E186" i="45" s="1"/>
  <c r="H137" i="8"/>
  <c r="E324" i="45"/>
  <c r="E326" i="45" s="1"/>
  <c r="E25" i="68"/>
  <c r="E145" i="57"/>
  <c r="E138" i="8" s="1"/>
  <c r="L91" i="39" s="1"/>
  <c r="E135" i="8"/>
  <c r="H247" i="46"/>
  <c r="E143" i="57"/>
  <c r="E136" i="8" s="1"/>
  <c r="D91" i="39" s="1"/>
  <c r="E248" i="46"/>
  <c r="G248" i="46"/>
  <c r="H249" i="46"/>
  <c r="M78" i="64"/>
  <c r="M67" i="64" s="1"/>
  <c r="K76" i="64"/>
  <c r="K65" i="64" s="1"/>
  <c r="K83" i="64" s="1"/>
  <c r="E28" i="59"/>
  <c r="G249" i="46"/>
  <c r="E117" i="45"/>
  <c r="E119" i="45" s="1"/>
  <c r="G243" i="8"/>
  <c r="L38" i="54"/>
  <c r="E241" i="59"/>
  <c r="F71" i="84"/>
  <c r="L39" i="54"/>
  <c r="F248" i="46"/>
  <c r="H132" i="84"/>
  <c r="H70" i="84"/>
  <c r="H54" i="84"/>
  <c r="H7" i="8"/>
  <c r="H112" i="84"/>
  <c r="H99" i="84"/>
  <c r="H86" i="84"/>
  <c r="H39" i="84"/>
  <c r="H32" i="84"/>
  <c r="H25" i="84"/>
  <c r="H18" i="84"/>
  <c r="H12" i="84"/>
  <c r="H5" i="84"/>
  <c r="H122" i="84"/>
  <c r="F122" i="84"/>
  <c r="F112" i="84"/>
  <c r="F86" i="84"/>
  <c r="F25" i="84"/>
  <c r="F12" i="84"/>
  <c r="F54" i="84"/>
  <c r="F7" i="8"/>
  <c r="F99" i="84"/>
  <c r="F39" i="84"/>
  <c r="F32" i="84"/>
  <c r="F18" i="84"/>
  <c r="F5" i="84"/>
  <c r="F132" i="84"/>
  <c r="F70" i="84"/>
  <c r="G54" i="84"/>
  <c r="G7" i="8"/>
  <c r="G132" i="84"/>
  <c r="G70" i="84"/>
  <c r="G122" i="84"/>
  <c r="G112" i="84"/>
  <c r="G99" i="84"/>
  <c r="G86" i="84"/>
  <c r="G39" i="84"/>
  <c r="G32" i="84"/>
  <c r="G25" i="84"/>
  <c r="G18" i="84"/>
  <c r="G12" i="84"/>
  <c r="G5" i="84"/>
  <c r="E112" i="84"/>
  <c r="E99" i="84"/>
  <c r="E86" i="84"/>
  <c r="E39" i="84"/>
  <c r="E32" i="84"/>
  <c r="E25" i="84"/>
  <c r="E18" i="84"/>
  <c r="E12" i="84"/>
  <c r="E5" i="84"/>
  <c r="E132" i="84"/>
  <c r="E122" i="84"/>
  <c r="E70" i="84"/>
  <c r="E54" i="84"/>
  <c r="E7" i="8"/>
  <c r="L259" i="46"/>
  <c r="N251" i="46"/>
  <c r="F239" i="8"/>
  <c r="E265" i="45"/>
  <c r="F249" i="46"/>
  <c r="E60" i="45"/>
  <c r="I147" i="81"/>
  <c r="I144" i="81"/>
  <c r="I146" i="81"/>
  <c r="I145" i="81"/>
  <c r="I141" i="81"/>
  <c r="N142" i="81"/>
  <c r="N148" i="81"/>
  <c r="F38" i="55"/>
  <c r="F172" i="55" s="1"/>
  <c r="J138" i="8"/>
  <c r="E235" i="8"/>
  <c r="F33" i="54"/>
  <c r="F170" i="54" s="1"/>
  <c r="I143" i="81"/>
  <c r="I150" i="81"/>
  <c r="N144" i="81"/>
  <c r="N149" i="81"/>
  <c r="N143" i="81"/>
  <c r="F39" i="55"/>
  <c r="J135" i="8"/>
  <c r="E249" i="46"/>
  <c r="E8" i="45"/>
  <c r="N150" i="81"/>
  <c r="E200" i="45"/>
  <c r="E202" i="45" s="1"/>
  <c r="K248" i="46"/>
  <c r="E44" i="45"/>
  <c r="E46" i="45" s="1"/>
  <c r="E249" i="45"/>
  <c r="E251" i="45" s="1"/>
  <c r="E38" i="55"/>
  <c r="J236" i="8"/>
  <c r="K49" i="54"/>
  <c r="M240" i="8"/>
  <c r="M232" i="8"/>
  <c r="N242" i="8"/>
  <c r="N49" i="54"/>
  <c r="M235" i="8"/>
  <c r="N233" i="8"/>
  <c r="I34" i="54"/>
  <c r="M236" i="8"/>
  <c r="L236" i="8"/>
  <c r="I39" i="54"/>
  <c r="I38" i="54"/>
  <c r="I39" i="55"/>
  <c r="L239" i="8"/>
  <c r="J102" i="8"/>
  <c r="A97" i="84"/>
  <c r="B27" i="84"/>
  <c r="B14" i="84"/>
  <c r="D203" i="46"/>
  <c r="B118" i="46"/>
  <c r="D225" i="46"/>
  <c r="D99" i="72"/>
  <c r="D83" i="72"/>
  <c r="B330" i="77"/>
  <c r="B314" i="77"/>
  <c r="B177" i="77"/>
  <c r="D105" i="72"/>
  <c r="D89" i="72"/>
  <c r="D378" i="45"/>
  <c r="D363" i="45"/>
  <c r="D212" i="46"/>
  <c r="D77" i="72"/>
  <c r="B56" i="72"/>
  <c r="B221" i="69"/>
  <c r="D111" i="72"/>
  <c r="B219" i="7"/>
  <c r="B219" i="8" s="1"/>
  <c r="B194" i="7"/>
  <c r="B194" i="8" s="1"/>
  <c r="B164" i="7"/>
  <c r="B164" i="8" s="1"/>
  <c r="B20" i="7"/>
  <c r="B20" i="8" s="1"/>
  <c r="D362" i="45"/>
  <c r="B243" i="7"/>
  <c r="B243" i="8" s="1"/>
  <c r="B236" i="7"/>
  <c r="B236" i="8" s="1"/>
  <c r="B229" i="7"/>
  <c r="B229" i="8" s="1"/>
  <c r="B185" i="7"/>
  <c r="B185" i="8" s="1"/>
  <c r="B163" i="7"/>
  <c r="B163" i="8" s="1"/>
  <c r="D237" i="46"/>
  <c r="C56" i="4"/>
  <c r="D371" i="45"/>
  <c r="B287" i="45"/>
  <c r="B280" i="59"/>
  <c r="B220" i="7"/>
  <c r="B220" i="8" s="1"/>
  <c r="B221" i="7"/>
  <c r="B221" i="8" s="1"/>
  <c r="B162" i="7"/>
  <c r="B162" i="8" s="1"/>
  <c r="C41" i="32"/>
  <c r="A52" i="84"/>
  <c r="B20" i="84"/>
  <c r="B7" i="84"/>
  <c r="D222" i="46"/>
  <c r="D209" i="46"/>
  <c r="D234" i="46"/>
  <c r="B33" i="46"/>
  <c r="D74" i="72"/>
  <c r="D96" i="72"/>
  <c r="D80" i="72"/>
  <c r="B17" i="72"/>
  <c r="B77" i="69"/>
  <c r="D108" i="72"/>
  <c r="D368" i="45"/>
  <c r="D357" i="45"/>
  <c r="B89" i="45"/>
  <c r="B265" i="59"/>
  <c r="D356" i="45"/>
  <c r="B225" i="7"/>
  <c r="B225" i="8" s="1"/>
  <c r="B213" i="7"/>
  <c r="B213" i="8" s="1"/>
  <c r="B182" i="7"/>
  <c r="B182" i="8" s="1"/>
  <c r="B311" i="77"/>
  <c r="D86" i="72"/>
  <c r="B212" i="7"/>
  <c r="B212" i="8" s="1"/>
  <c r="B152" i="7"/>
  <c r="B152" i="8" s="1"/>
  <c r="D200" i="46"/>
  <c r="D102" i="72"/>
  <c r="D375" i="45"/>
  <c r="C54" i="4"/>
  <c r="B327" i="77"/>
  <c r="B60" i="77"/>
  <c r="B240" i="7"/>
  <c r="B240" i="8" s="1"/>
  <c r="B233" i="7"/>
  <c r="B233" i="8" s="1"/>
  <c r="B191" i="7"/>
  <c r="B191" i="8" s="1"/>
  <c r="B175" i="7"/>
  <c r="B175" i="8" s="1"/>
  <c r="B150" i="7"/>
  <c r="B150" i="8" s="1"/>
  <c r="B17" i="7"/>
  <c r="B17" i="8" s="1"/>
  <c r="B170" i="7"/>
  <c r="B170" i="8" s="1"/>
  <c r="B211" i="7"/>
  <c r="B211" i="8" s="1"/>
  <c r="B151" i="7"/>
  <c r="B151" i="8" s="1"/>
  <c r="C32" i="32"/>
  <c r="E106" i="21"/>
  <c r="B100" i="84"/>
  <c r="B87" i="84"/>
  <c r="E156" i="21"/>
  <c r="A110" i="84"/>
  <c r="B33" i="84"/>
  <c r="D226" i="46"/>
  <c r="D213" i="46"/>
  <c r="B146" i="46"/>
  <c r="D238" i="46"/>
  <c r="B285" i="59"/>
  <c r="B5" i="68"/>
  <c r="B331" i="77"/>
  <c r="B315" i="77"/>
  <c r="B205" i="77"/>
  <c r="C57" i="4"/>
  <c r="B21" i="7"/>
  <c r="B21" i="8" s="1"/>
  <c r="C44" i="32"/>
  <c r="F97" i="21"/>
  <c r="F306" i="101" s="1"/>
  <c r="F307" i="101" s="1"/>
  <c r="E204" i="69"/>
  <c r="E206" i="69" s="1"/>
  <c r="E102" i="69"/>
  <c r="E104" i="69" s="1"/>
  <c r="E246" i="69"/>
  <c r="E248" i="69" s="1"/>
  <c r="E60" i="69"/>
  <c r="E62" i="69" s="1"/>
  <c r="E276" i="69"/>
  <c r="E278" i="69" s="1"/>
  <c r="E174" i="69"/>
  <c r="E176" i="69" s="1"/>
  <c r="E132" i="69"/>
  <c r="E134" i="69" s="1"/>
  <c r="E30" i="69"/>
  <c r="E32" i="69" s="1"/>
  <c r="P149" i="54"/>
  <c r="M160" i="54" s="1"/>
  <c r="J163" i="54"/>
  <c r="J165" i="54"/>
  <c r="I158" i="55"/>
  <c r="E165" i="54"/>
  <c r="G165" i="54"/>
  <c r="K163" i="54"/>
  <c r="P151" i="54"/>
  <c r="N74" i="46"/>
  <c r="E48" i="33"/>
  <c r="E314" i="59"/>
  <c r="E315" i="59" s="1"/>
  <c r="N137" i="84" s="1"/>
  <c r="M110" i="8"/>
  <c r="I71" i="84"/>
  <c r="E247" i="46"/>
  <c r="E107" i="57"/>
  <c r="M248" i="46"/>
  <c r="N34" i="54"/>
  <c r="J34" i="54"/>
  <c r="N39" i="55"/>
  <c r="L162" i="54"/>
  <c r="K44" i="54"/>
  <c r="M49" i="54"/>
  <c r="M39" i="55"/>
  <c r="F250" i="46"/>
  <c r="J76" i="64"/>
  <c r="J65" i="64" s="1"/>
  <c r="M44" i="54"/>
  <c r="E82" i="8"/>
  <c r="E131" i="59"/>
  <c r="E27" i="59"/>
  <c r="E23" i="59"/>
  <c r="E25" i="59" s="1"/>
  <c r="E143" i="59" s="1"/>
  <c r="E19" i="59"/>
  <c r="E21" i="59" s="1"/>
  <c r="E140" i="8"/>
  <c r="E151" i="57"/>
  <c r="J143" i="8" s="1"/>
  <c r="E149" i="57"/>
  <c r="G141" i="8" s="1"/>
  <c r="E150" i="57"/>
  <c r="F142" i="8" s="1"/>
  <c r="E120" i="57"/>
  <c r="K251" i="46"/>
  <c r="M249" i="46"/>
  <c r="J44" i="54"/>
  <c r="K158" i="55"/>
  <c r="K122" i="84"/>
  <c r="K132" i="84"/>
  <c r="K112" i="84"/>
  <c r="K99" i="84"/>
  <c r="K86" i="84"/>
  <c r="K70" i="84"/>
  <c r="K54" i="84"/>
  <c r="K32" i="84"/>
  <c r="K18" i="84"/>
  <c r="K5" i="84"/>
  <c r="K39" i="84"/>
  <c r="K25" i="84"/>
  <c r="K12" i="84"/>
  <c r="K7" i="8"/>
  <c r="M121" i="8"/>
  <c r="M80" i="8"/>
  <c r="B75" i="84"/>
  <c r="B59" i="84"/>
  <c r="B44" i="84"/>
  <c r="E108" i="21"/>
  <c r="E68" i="21"/>
  <c r="G151" i="21"/>
  <c r="H79" i="21"/>
  <c r="G101" i="21"/>
  <c r="G96" i="21"/>
  <c r="G94" i="21"/>
  <c r="A130" i="84"/>
  <c r="B35" i="84"/>
  <c r="B27" i="23"/>
  <c r="B25" i="23"/>
  <c r="B24" i="23"/>
  <c r="D240" i="46"/>
  <c r="D228" i="46"/>
  <c r="D215" i="46"/>
  <c r="B180" i="46"/>
  <c r="B333" i="77"/>
  <c r="B317" i="77"/>
  <c r="B261" i="77"/>
  <c r="B79" i="68"/>
  <c r="B295" i="59"/>
  <c r="C91" i="4"/>
  <c r="B23" i="7"/>
  <c r="B23" i="8" s="1"/>
  <c r="C50" i="32"/>
  <c r="F101" i="21"/>
  <c r="E162" i="55"/>
  <c r="P150" i="54"/>
  <c r="M161" i="54" s="1"/>
  <c r="N163" i="54"/>
  <c r="L165" i="54"/>
  <c r="N165" i="54"/>
  <c r="G96" i="8"/>
  <c r="G163" i="54"/>
  <c r="K161" i="54"/>
  <c r="H83" i="64"/>
  <c r="I110" i="8"/>
  <c r="E71" i="84"/>
  <c r="K34" i="54"/>
  <c r="F135" i="8"/>
  <c r="F138" i="8"/>
  <c r="F137" i="8"/>
  <c r="H102" i="8"/>
  <c r="I248" i="46"/>
  <c r="I74" i="46"/>
  <c r="L160" i="54"/>
  <c r="L235" i="8"/>
  <c r="F171" i="8"/>
  <c r="I49" i="54"/>
  <c r="J251" i="46"/>
  <c r="G250" i="46"/>
  <c r="L248" i="46"/>
  <c r="F247" i="46"/>
  <c r="I251" i="46"/>
  <c r="I259" i="46"/>
  <c r="K243" i="8"/>
  <c r="J233" i="8"/>
  <c r="K232" i="8"/>
  <c r="J74" i="46"/>
  <c r="E33" i="54"/>
  <c r="J123" i="84"/>
  <c r="I67" i="8"/>
  <c r="N259" i="46"/>
  <c r="K239" i="8"/>
  <c r="L33" i="8"/>
  <c r="L72" i="64"/>
  <c r="I44" i="54"/>
  <c r="N248" i="46"/>
  <c r="K33" i="8"/>
  <c r="K72" i="64"/>
  <c r="L82" i="8"/>
  <c r="N87" i="84"/>
  <c r="H250" i="46"/>
  <c r="I249" i="46"/>
  <c r="N96" i="8"/>
  <c r="L113" i="84"/>
  <c r="L87" i="84"/>
  <c r="N121" i="8"/>
  <c r="N80" i="8"/>
  <c r="H160" i="80"/>
  <c r="H159" i="80"/>
  <c r="E70" i="21"/>
  <c r="B123" i="84"/>
  <c r="B133" i="84"/>
  <c r="B113" i="84"/>
  <c r="F171" i="21"/>
  <c r="F172" i="21" s="1"/>
  <c r="F177" i="21" s="1"/>
  <c r="F126" i="21"/>
  <c r="F127" i="21" s="1"/>
  <c r="F124" i="21"/>
  <c r="F125" i="21" s="1"/>
  <c r="F122" i="21"/>
  <c r="F123" i="21" s="1"/>
  <c r="F169" i="21"/>
  <c r="F170" i="21" s="1"/>
  <c r="F176" i="21" s="1"/>
  <c r="F154" i="21"/>
  <c r="F173" i="21"/>
  <c r="F174" i="21" s="1"/>
  <c r="F178" i="21" s="1"/>
  <c r="G114" i="21"/>
  <c r="F152" i="21"/>
  <c r="H162" i="54"/>
  <c r="I165" i="54"/>
  <c r="E160" i="54"/>
  <c r="H163" i="54"/>
  <c r="I162" i="55"/>
  <c r="E161" i="54"/>
  <c r="G161" i="54"/>
  <c r="M84" i="64"/>
  <c r="M83" i="64"/>
  <c r="E110" i="8"/>
  <c r="E86" i="68"/>
  <c r="N133" i="84" s="1"/>
  <c r="K38" i="54"/>
  <c r="K39" i="54"/>
  <c r="G33" i="54"/>
  <c r="G34" i="54"/>
  <c r="K39" i="55"/>
  <c r="K67" i="8"/>
  <c r="F82" i="8"/>
  <c r="M74" i="46"/>
  <c r="N30" i="85"/>
  <c r="P145" i="55"/>
  <c r="H156" i="55" s="1"/>
  <c r="L74" i="46"/>
  <c r="G140" i="8"/>
  <c r="N249" i="46"/>
  <c r="I33" i="8"/>
  <c r="I72" i="64"/>
  <c r="K71" i="84"/>
  <c r="G247" i="46"/>
  <c r="J248" i="46"/>
  <c r="J112" i="84"/>
  <c r="J99" i="84"/>
  <c r="J86" i="84"/>
  <c r="J70" i="84"/>
  <c r="J54" i="84"/>
  <c r="J39" i="84"/>
  <c r="J122" i="84"/>
  <c r="J132" i="84"/>
  <c r="J25" i="84"/>
  <c r="J12" i="84"/>
  <c r="J7" i="8"/>
  <c r="J32" i="84"/>
  <c r="J18" i="84"/>
  <c r="J5" i="84"/>
  <c r="J140" i="8"/>
  <c r="N123" i="84"/>
  <c r="I112" i="84"/>
  <c r="I99" i="84"/>
  <c r="I86" i="84"/>
  <c r="I70" i="84"/>
  <c r="I54" i="84"/>
  <c r="I122" i="84"/>
  <c r="I132" i="84"/>
  <c r="I25" i="84"/>
  <c r="I12" i="84"/>
  <c r="I7" i="8"/>
  <c r="I39" i="84"/>
  <c r="I32" i="84"/>
  <c r="I18" i="84"/>
  <c r="I5" i="84"/>
  <c r="L132" i="84"/>
  <c r="L112" i="84"/>
  <c r="L99" i="84"/>
  <c r="L86" i="84"/>
  <c r="L70" i="84"/>
  <c r="L54" i="84"/>
  <c r="L122" i="84"/>
  <c r="L39" i="84"/>
  <c r="L25" i="84"/>
  <c r="L12" i="84"/>
  <c r="L7" i="8"/>
  <c r="L32" i="84"/>
  <c r="L18" i="84"/>
  <c r="L5" i="84"/>
  <c r="B76" i="84"/>
  <c r="B60" i="84"/>
  <c r="B45" i="84"/>
  <c r="F42" i="21"/>
  <c r="F148" i="21"/>
  <c r="F133" i="21"/>
  <c r="F134" i="21" s="1"/>
  <c r="F41" i="21"/>
  <c r="G19" i="21"/>
  <c r="F29" i="21"/>
  <c r="F40" i="21"/>
  <c r="F30" i="21"/>
  <c r="F28" i="21"/>
  <c r="F56" i="21"/>
  <c r="F57" i="21" s="1"/>
  <c r="F54" i="21"/>
  <c r="F55" i="21" s="1"/>
  <c r="F48" i="21"/>
  <c r="F46" i="21"/>
  <c r="E72" i="21"/>
  <c r="E143" i="21" s="1"/>
  <c r="E145" i="21" s="1"/>
  <c r="B71" i="84"/>
  <c r="B55" i="84"/>
  <c r="B40" i="84"/>
  <c r="B116" i="84"/>
  <c r="B126" i="84"/>
  <c r="B136" i="84"/>
  <c r="F106" i="21"/>
  <c r="F95" i="21"/>
  <c r="F236" i="101" s="1"/>
  <c r="F237" i="101" s="1"/>
  <c r="K45" i="23"/>
  <c r="G45" i="23"/>
  <c r="N45" i="23"/>
  <c r="J45" i="23"/>
  <c r="F45" i="23"/>
  <c r="M45" i="23"/>
  <c r="I45" i="23"/>
  <c r="E45" i="23"/>
  <c r="L45" i="23"/>
  <c r="H45" i="23"/>
  <c r="H160" i="54"/>
  <c r="E158" i="55"/>
  <c r="F163" i="54"/>
  <c r="E163" i="54"/>
  <c r="K165" i="54"/>
  <c r="P153" i="54"/>
  <c r="H164" i="54" s="1"/>
  <c r="E171" i="8"/>
  <c r="E96" i="8"/>
  <c r="E129" i="57"/>
  <c r="E99" i="8" s="1"/>
  <c r="L116" i="37" s="1"/>
  <c r="E127" i="57"/>
  <c r="E97" i="8" s="1"/>
  <c r="D116" i="37" s="1"/>
  <c r="E130" i="57"/>
  <c r="E100" i="8" s="1"/>
  <c r="P116" i="37" s="1"/>
  <c r="E128" i="57"/>
  <c r="E98" i="8" s="1"/>
  <c r="H116" i="37" s="1"/>
  <c r="I84" i="64"/>
  <c r="I83" i="64"/>
  <c r="E49" i="33"/>
  <c r="M71" i="84"/>
  <c r="G38" i="54"/>
  <c r="G39" i="54"/>
  <c r="G39" i="55"/>
  <c r="G38" i="55"/>
  <c r="G67" i="8"/>
  <c r="G102" i="8"/>
  <c r="L251" i="46"/>
  <c r="J259" i="46"/>
  <c r="K249" i="46"/>
  <c r="J39" i="55"/>
  <c r="L164" i="54"/>
  <c r="G174" i="54"/>
  <c r="E102" i="8"/>
  <c r="E135" i="57"/>
  <c r="E137" i="57"/>
  <c r="E106" i="8" s="1"/>
  <c r="P115" i="37" s="1"/>
  <c r="E136" i="57"/>
  <c r="E105" i="8" s="1"/>
  <c r="L115" i="37" s="1"/>
  <c r="E134" i="57"/>
  <c r="E103" i="8" s="1"/>
  <c r="D115" i="37" s="1"/>
  <c r="G82" i="8"/>
  <c r="J249" i="46"/>
  <c r="M251" i="46"/>
  <c r="M259" i="46"/>
  <c r="M33" i="8"/>
  <c r="M72" i="64"/>
  <c r="J242" i="8"/>
  <c r="K110" i="8"/>
  <c r="E39" i="55"/>
  <c r="K74" i="46"/>
  <c r="L34" i="54"/>
  <c r="L39" i="55"/>
  <c r="N76" i="64"/>
  <c r="N65" i="64" s="1"/>
  <c r="H171" i="8"/>
  <c r="E123" i="8"/>
  <c r="Q60" i="36" s="1"/>
  <c r="L249" i="46"/>
  <c r="K259" i="46"/>
  <c r="E250" i="46"/>
  <c r="I235" i="8"/>
  <c r="N55" i="84"/>
  <c r="AF164" i="80"/>
  <c r="AB164" i="80"/>
  <c r="X164" i="80"/>
  <c r="T164" i="80"/>
  <c r="P164" i="80"/>
  <c r="L164" i="80"/>
  <c r="H164" i="80"/>
  <c r="D164" i="80"/>
  <c r="AE164" i="80"/>
  <c r="AA164" i="80"/>
  <c r="W164" i="80"/>
  <c r="S164" i="80"/>
  <c r="O164" i="80"/>
  <c r="K164" i="80"/>
  <c r="G164" i="80"/>
  <c r="C164" i="80"/>
  <c r="Y164" i="80"/>
  <c r="Q164" i="80"/>
  <c r="I164" i="80"/>
  <c r="AD164" i="80"/>
  <c r="V164" i="80"/>
  <c r="N164" i="80"/>
  <c r="F164" i="80"/>
  <c r="AC164" i="80"/>
  <c r="U164" i="80"/>
  <c r="M164" i="80"/>
  <c r="E164" i="80"/>
  <c r="Z164" i="80"/>
  <c r="R164" i="80"/>
  <c r="J164" i="80"/>
  <c r="B164" i="80"/>
  <c r="M112" i="84"/>
  <c r="M99" i="84"/>
  <c r="M86" i="84"/>
  <c r="M70" i="84"/>
  <c r="M54" i="84"/>
  <c r="M122" i="84"/>
  <c r="M132" i="84"/>
  <c r="M25" i="84"/>
  <c r="M12" i="84"/>
  <c r="M7" i="8"/>
  <c r="M32" i="84"/>
  <c r="M18" i="84"/>
  <c r="M5" i="84"/>
  <c r="M39" i="84"/>
  <c r="L55" i="84"/>
  <c r="C159" i="80"/>
  <c r="L49" i="54" l="1"/>
  <c r="L44" i="54"/>
  <c r="F43" i="54"/>
  <c r="F174" i="54" s="1"/>
  <c r="N44" i="54"/>
  <c r="H49" i="54"/>
  <c r="J141" i="8"/>
  <c r="G143" i="8"/>
  <c r="F108" i="21"/>
  <c r="J55" i="84"/>
  <c r="G142" i="8"/>
  <c r="F136" i="8"/>
  <c r="M201" i="8"/>
  <c r="I199" i="8"/>
  <c r="K201" i="8"/>
  <c r="J136" i="8"/>
  <c r="H136" i="8"/>
  <c r="J142" i="8"/>
  <c r="J199" i="8"/>
  <c r="H199" i="8"/>
  <c r="E104" i="8"/>
  <c r="H115" i="37" s="1"/>
  <c r="F104" i="8"/>
  <c r="G103" i="8"/>
  <c r="N99" i="8"/>
  <c r="L133" i="84"/>
  <c r="H104" i="8"/>
  <c r="G100" i="8"/>
  <c r="E141" i="8"/>
  <c r="D90" i="39" s="1"/>
  <c r="H141" i="8"/>
  <c r="J106" i="8"/>
  <c r="H137" i="84"/>
  <c r="N199" i="8"/>
  <c r="F100" i="8"/>
  <c r="F98" i="8"/>
  <c r="G201" i="8"/>
  <c r="G136" i="8"/>
  <c r="F105" i="8"/>
  <c r="J87" i="84"/>
  <c r="G105" i="8"/>
  <c r="N98" i="8"/>
  <c r="H106" i="8"/>
  <c r="G99" i="8"/>
  <c r="E143" i="8"/>
  <c r="L90" i="39" s="1"/>
  <c r="F143" i="8"/>
  <c r="H143" i="8"/>
  <c r="J103" i="8"/>
  <c r="N201" i="8"/>
  <c r="M199" i="8"/>
  <c r="K199" i="8"/>
  <c r="F97" i="8"/>
  <c r="L136" i="8"/>
  <c r="I104" i="8"/>
  <c r="F106" i="8"/>
  <c r="E239" i="8"/>
  <c r="G239" i="8"/>
  <c r="G104" i="8"/>
  <c r="N100" i="8"/>
  <c r="H105" i="8"/>
  <c r="G97" i="8"/>
  <c r="J105" i="8"/>
  <c r="F201" i="8"/>
  <c r="H201" i="8"/>
  <c r="G138" i="8"/>
  <c r="F141" i="8"/>
  <c r="F87" i="84"/>
  <c r="G106" i="8"/>
  <c r="N97" i="8"/>
  <c r="H103" i="8"/>
  <c r="G98" i="8"/>
  <c r="E142" i="8"/>
  <c r="H90" i="39" s="1"/>
  <c r="H142" i="8"/>
  <c r="J104" i="8"/>
  <c r="F99" i="8"/>
  <c r="H138" i="8"/>
  <c r="I136" i="8"/>
  <c r="F103" i="8"/>
  <c r="E296" i="59"/>
  <c r="M106" i="8"/>
  <c r="C63" i="80"/>
  <c r="D52" i="81" s="1"/>
  <c r="D155" i="81" s="1"/>
  <c r="E51" i="69"/>
  <c r="E35" i="59"/>
  <c r="E37" i="59" s="1"/>
  <c r="E124" i="8" s="1"/>
  <c r="Q67" i="36" s="1"/>
  <c r="E127" i="59"/>
  <c r="E39" i="59"/>
  <c r="E41" i="59" s="1"/>
  <c r="E123" i="59"/>
  <c r="E93" i="68"/>
  <c r="E56" i="68"/>
  <c r="E75" i="68" s="1"/>
  <c r="E105" i="68"/>
  <c r="E113" i="68" s="1"/>
  <c r="E68" i="68"/>
  <c r="E76" i="68" s="1"/>
  <c r="E31" i="68"/>
  <c r="E39" i="68" s="1"/>
  <c r="E40" i="68" s="1"/>
  <c r="G123" i="8"/>
  <c r="H77" i="84"/>
  <c r="I102" i="8"/>
  <c r="I105" i="8"/>
  <c r="N171" i="54"/>
  <c r="M171" i="54"/>
  <c r="E265" i="101"/>
  <c r="E272" i="101" s="1"/>
  <c r="E242" i="101"/>
  <c r="E244" i="101" s="1"/>
  <c r="F240" i="101" s="1"/>
  <c r="F241" i="101" s="1"/>
  <c r="F247" i="101" s="1"/>
  <c r="F248" i="101" s="1"/>
  <c r="F249" i="101" s="1"/>
  <c r="E195" i="101"/>
  <c r="E202" i="101" s="1"/>
  <c r="E172" i="101"/>
  <c r="E174" i="101" s="1"/>
  <c r="F170" i="101" s="1"/>
  <c r="F171" i="101" s="1"/>
  <c r="F177" i="101" s="1"/>
  <c r="E125" i="101"/>
  <c r="E132" i="101" s="1"/>
  <c r="E102" i="101"/>
  <c r="E104" i="101" s="1"/>
  <c r="F100" i="101" s="1"/>
  <c r="F101" i="101" s="1"/>
  <c r="F107" i="101" s="1"/>
  <c r="E335" i="101"/>
  <c r="E342" i="101" s="1"/>
  <c r="E312" i="101"/>
  <c r="E314" i="101" s="1"/>
  <c r="F310" i="101" s="1"/>
  <c r="F311" i="101" s="1"/>
  <c r="F317" i="101" s="1"/>
  <c r="F318" i="101" s="1"/>
  <c r="F319" i="101" s="1"/>
  <c r="E56" i="101"/>
  <c r="E63" i="101" s="1"/>
  <c r="E33" i="101"/>
  <c r="E35" i="101" s="1"/>
  <c r="F31" i="101" s="1"/>
  <c r="F32" i="101" s="1"/>
  <c r="F38" i="101" s="1"/>
  <c r="E113" i="84"/>
  <c r="N113" i="84"/>
  <c r="E87" i="84"/>
  <c r="H100" i="84"/>
  <c r="E123" i="84"/>
  <c r="J113" i="84"/>
  <c r="F100" i="84"/>
  <c r="E297" i="59"/>
  <c r="H161" i="58"/>
  <c r="G161" i="58"/>
  <c r="G162" i="58"/>
  <c r="H164" i="58"/>
  <c r="N162" i="58"/>
  <c r="E161" i="58"/>
  <c r="J161" i="58"/>
  <c r="L161" i="58"/>
  <c r="N161" i="58"/>
  <c r="J162" i="58"/>
  <c r="I165" i="58"/>
  <c r="N165" i="58"/>
  <c r="J164" i="58"/>
  <c r="L164" i="58"/>
  <c r="N164" i="58"/>
  <c r="F165" i="58"/>
  <c r="M161" i="58"/>
  <c r="M162" i="58"/>
  <c r="E162" i="58"/>
  <c r="I162" i="58"/>
  <c r="F164" i="58"/>
  <c r="F161" i="58"/>
  <c r="G164" i="58"/>
  <c r="I161" i="58"/>
  <c r="K161" i="58"/>
  <c r="F162" i="58"/>
  <c r="H162" i="58"/>
  <c r="M164" i="58"/>
  <c r="L165" i="58"/>
  <c r="L162" i="58"/>
  <c r="K165" i="58"/>
  <c r="M165" i="58"/>
  <c r="K164" i="58"/>
  <c r="I164" i="58"/>
  <c r="H165" i="58"/>
  <c r="J165" i="58"/>
  <c r="N77" i="84"/>
  <c r="F61" i="33"/>
  <c r="F54" i="33"/>
  <c r="J40" i="84"/>
  <c r="L40" i="84"/>
  <c r="L102" i="54"/>
  <c r="H40" i="84"/>
  <c r="E311" i="59"/>
  <c r="N104" i="84" s="1"/>
  <c r="E272" i="59"/>
  <c r="J133" i="84"/>
  <c r="D86" i="83"/>
  <c r="E185" i="8"/>
  <c r="D85" i="83"/>
  <c r="L242" i="8"/>
  <c r="M87" i="84"/>
  <c r="M243" i="8"/>
  <c r="E271" i="59"/>
  <c r="E266" i="59"/>
  <c r="F124" i="8"/>
  <c r="N100" i="84"/>
  <c r="M233" i="8"/>
  <c r="F123" i="84"/>
  <c r="E136" i="69"/>
  <c r="E145" i="69" s="1"/>
  <c r="M55" i="84"/>
  <c r="M103" i="8"/>
  <c r="M104" i="8"/>
  <c r="H133" i="84"/>
  <c r="L100" i="84"/>
  <c r="M105" i="8"/>
  <c r="H124" i="8"/>
  <c r="F123" i="8"/>
  <c r="H125" i="8"/>
  <c r="H123" i="8"/>
  <c r="J174" i="54"/>
  <c r="I174" i="54"/>
  <c r="E55" i="84"/>
  <c r="N40" i="84"/>
  <c r="J77" i="84"/>
  <c r="H113" i="84"/>
  <c r="J137" i="84"/>
  <c r="E305" i="59"/>
  <c r="E46" i="84" s="1"/>
  <c r="F40" i="84"/>
  <c r="K174" i="54"/>
  <c r="L174" i="54"/>
  <c r="L176" i="54"/>
  <c r="J123" i="8"/>
  <c r="E71" i="59"/>
  <c r="E67" i="59"/>
  <c r="E55" i="59"/>
  <c r="E86" i="72"/>
  <c r="G133" i="84"/>
  <c r="L233" i="8"/>
  <c r="F133" i="84"/>
  <c r="G148" i="54"/>
  <c r="M123" i="84"/>
  <c r="I106" i="8"/>
  <c r="L243" i="8"/>
  <c r="F148" i="54"/>
  <c r="I103" i="8"/>
  <c r="N173" i="54"/>
  <c r="E40" i="72"/>
  <c r="E87" i="72" s="1"/>
  <c r="E291" i="59"/>
  <c r="H148" i="54"/>
  <c r="G103" i="21"/>
  <c r="E262" i="59"/>
  <c r="H175" i="54"/>
  <c r="E89" i="72"/>
  <c r="G124" i="8"/>
  <c r="L148" i="54"/>
  <c r="E281" i="59"/>
  <c r="E286" i="59"/>
  <c r="E277" i="59"/>
  <c r="E287" i="59"/>
  <c r="F147" i="54"/>
  <c r="M113" i="84"/>
  <c r="L123" i="84"/>
  <c r="H173" i="54"/>
  <c r="E147" i="54"/>
  <c r="H123" i="84"/>
  <c r="E267" i="59"/>
  <c r="G147" i="54"/>
  <c r="J100" i="84"/>
  <c r="J171" i="54"/>
  <c r="H147" i="54"/>
  <c r="E276" i="59"/>
  <c r="K123" i="8"/>
  <c r="F107" i="21"/>
  <c r="I123" i="8"/>
  <c r="E292" i="59"/>
  <c r="E282" i="59"/>
  <c r="N82" i="8"/>
  <c r="M124" i="8"/>
  <c r="L123" i="8"/>
  <c r="J82" i="8"/>
  <c r="N250" i="46"/>
  <c r="N182" i="8"/>
  <c r="L171" i="54"/>
  <c r="E148" i="54"/>
  <c r="K171" i="55"/>
  <c r="J148" i="54"/>
  <c r="H102" i="21"/>
  <c r="H103" i="21" s="1"/>
  <c r="H100" i="21"/>
  <c r="I138" i="8"/>
  <c r="N123" i="8"/>
  <c r="N83" i="8"/>
  <c r="M125" i="8"/>
  <c r="E29" i="59"/>
  <c r="E85" i="8" s="1"/>
  <c r="H77" i="36" s="1"/>
  <c r="F173" i="54"/>
  <c r="M147" i="54"/>
  <c r="I147" i="54"/>
  <c r="L124" i="8"/>
  <c r="L125" i="8"/>
  <c r="J124" i="8"/>
  <c r="J84" i="8"/>
  <c r="I124" i="8"/>
  <c r="K124" i="8"/>
  <c r="M123" i="8"/>
  <c r="H83" i="8"/>
  <c r="N84" i="8"/>
  <c r="H84" i="8"/>
  <c r="F77" i="84"/>
  <c r="F137" i="84"/>
  <c r="N174" i="54"/>
  <c r="M174" i="54"/>
  <c r="E173" i="54"/>
  <c r="N147" i="54"/>
  <c r="G173" i="54"/>
  <c r="E268" i="69"/>
  <c r="E272" i="69" s="1"/>
  <c r="E284" i="69" s="1"/>
  <c r="J250" i="46"/>
  <c r="I135" i="8"/>
  <c r="I137" i="8"/>
  <c r="N124" i="8"/>
  <c r="H85" i="8"/>
  <c r="E194" i="69"/>
  <c r="E50" i="69"/>
  <c r="E52" i="69" s="1"/>
  <c r="E56" i="69" s="1"/>
  <c r="E68" i="69" s="1"/>
  <c r="G64" i="21"/>
  <c r="G65" i="21" s="1"/>
  <c r="G62" i="21"/>
  <c r="G50" i="21"/>
  <c r="L175" i="54"/>
  <c r="E261" i="59"/>
  <c r="E125" i="8"/>
  <c r="Q72" i="36" s="1"/>
  <c r="N31" i="85"/>
  <c r="J201" i="8"/>
  <c r="H100" i="8"/>
  <c r="L135" i="8"/>
  <c r="H98" i="8"/>
  <c r="H97" i="8"/>
  <c r="H99" i="8"/>
  <c r="H96" i="8"/>
  <c r="M250" i="46"/>
  <c r="H203" i="8"/>
  <c r="F203" i="8"/>
  <c r="J202" i="8"/>
  <c r="M136" i="8"/>
  <c r="N33" i="85"/>
  <c r="M200" i="8"/>
  <c r="I202" i="8"/>
  <c r="M203" i="8"/>
  <c r="F200" i="8"/>
  <c r="G203" i="8"/>
  <c r="K84" i="64"/>
  <c r="K86" i="64" s="1"/>
  <c r="K34" i="8" s="1"/>
  <c r="M138" i="8"/>
  <c r="M137" i="8"/>
  <c r="G199" i="8"/>
  <c r="H253" i="46"/>
  <c r="L137" i="8"/>
  <c r="E203" i="8"/>
  <c r="L138" i="8"/>
  <c r="H202" i="8"/>
  <c r="K202" i="8"/>
  <c r="K200" i="8"/>
  <c r="I201" i="8"/>
  <c r="J200" i="8"/>
  <c r="E200" i="8"/>
  <c r="K147" i="54"/>
  <c r="K173" i="54"/>
  <c r="D53" i="83"/>
  <c r="N175" i="54"/>
  <c r="N176" i="54"/>
  <c r="K175" i="54"/>
  <c r="K148" i="54"/>
  <c r="K176" i="54"/>
  <c r="N203" i="8"/>
  <c r="E202" i="8"/>
  <c r="L173" i="54"/>
  <c r="I173" i="54"/>
  <c r="J175" i="54"/>
  <c r="J176" i="54"/>
  <c r="D71" i="84"/>
  <c r="O71" i="84" s="1"/>
  <c r="K203" i="8"/>
  <c r="G200" i="8"/>
  <c r="I176" i="54"/>
  <c r="I148" i="54"/>
  <c r="I175" i="54"/>
  <c r="G175" i="54"/>
  <c r="E175" i="54"/>
  <c r="F175" i="54"/>
  <c r="L147" i="54"/>
  <c r="M176" i="54"/>
  <c r="M175" i="54"/>
  <c r="M148" i="54"/>
  <c r="J203" i="8"/>
  <c r="H200" i="8"/>
  <c r="N202" i="8"/>
  <c r="N200" i="8"/>
  <c r="I203" i="8"/>
  <c r="G202" i="8"/>
  <c r="F202" i="8"/>
  <c r="N148" i="54"/>
  <c r="J173" i="54"/>
  <c r="J147" i="54"/>
  <c r="M173" i="54"/>
  <c r="E201" i="8"/>
  <c r="E199" i="8"/>
  <c r="M202" i="8"/>
  <c r="E137" i="21"/>
  <c r="E139" i="21" s="1"/>
  <c r="L169" i="54"/>
  <c r="M169" i="54"/>
  <c r="J169" i="54"/>
  <c r="I169" i="54"/>
  <c r="N169" i="54"/>
  <c r="K169" i="54"/>
  <c r="E172" i="55"/>
  <c r="I171" i="55"/>
  <c r="J171" i="55"/>
  <c r="L203" i="8"/>
  <c r="E172" i="54"/>
  <c r="H172" i="54"/>
  <c r="M172" i="54"/>
  <c r="F146" i="54"/>
  <c r="F172" i="54"/>
  <c r="I200" i="8"/>
  <c r="F146" i="55"/>
  <c r="E267" i="45"/>
  <c r="N146" i="54"/>
  <c r="H146" i="55"/>
  <c r="H171" i="54"/>
  <c r="F253" i="46"/>
  <c r="H146" i="54"/>
  <c r="E62" i="45"/>
  <c r="F199" i="8"/>
  <c r="M146" i="54"/>
  <c r="H169" i="54"/>
  <c r="H145" i="54"/>
  <c r="I86" i="64"/>
  <c r="I34" i="8" s="1"/>
  <c r="M86" i="64"/>
  <c r="M34" i="8" s="1"/>
  <c r="I77" i="84"/>
  <c r="I137" i="84"/>
  <c r="K171" i="8"/>
  <c r="M77" i="84"/>
  <c r="M137" i="84"/>
  <c r="K133" i="84"/>
  <c r="G137" i="84"/>
  <c r="G77" i="84"/>
  <c r="G83" i="8"/>
  <c r="L96" i="8"/>
  <c r="L98" i="8"/>
  <c r="L100" i="8"/>
  <c r="L99" i="8"/>
  <c r="L97" i="8"/>
  <c r="G123" i="84"/>
  <c r="F47" i="21"/>
  <c r="F27" i="101" s="1"/>
  <c r="F28" i="101" s="1"/>
  <c r="F68" i="21"/>
  <c r="G148" i="21"/>
  <c r="G133" i="21"/>
  <c r="G134" i="21" s="1"/>
  <c r="G41" i="21"/>
  <c r="H19" i="21"/>
  <c r="G40" i="21"/>
  <c r="G30" i="21"/>
  <c r="G29" i="21"/>
  <c r="G28" i="21"/>
  <c r="G42" i="21"/>
  <c r="G56" i="21"/>
  <c r="G57" i="21" s="1"/>
  <c r="G54" i="21"/>
  <c r="G55" i="21" s="1"/>
  <c r="G48" i="21"/>
  <c r="G46" i="21"/>
  <c r="L202" i="8"/>
  <c r="I240" i="8"/>
  <c r="K123" i="84"/>
  <c r="G145" i="54"/>
  <c r="G170" i="54"/>
  <c r="G169" i="54"/>
  <c r="E133" i="84"/>
  <c r="F153" i="21"/>
  <c r="F155" i="21"/>
  <c r="F156" i="21"/>
  <c r="M82" i="8"/>
  <c r="L201" i="8"/>
  <c r="N243" i="8"/>
  <c r="I243" i="8"/>
  <c r="I123" i="84"/>
  <c r="J171" i="8"/>
  <c r="I133" i="84"/>
  <c r="H84" i="64"/>
  <c r="H86" i="64" s="1"/>
  <c r="H34" i="8" s="1"/>
  <c r="E25" i="64"/>
  <c r="N140" i="8"/>
  <c r="N142" i="8"/>
  <c r="N143" i="8"/>
  <c r="N141" i="8"/>
  <c r="N235" i="8"/>
  <c r="M182" i="8"/>
  <c r="G87" i="84"/>
  <c r="E171" i="55"/>
  <c r="N146" i="55"/>
  <c r="J146" i="55"/>
  <c r="G164" i="54"/>
  <c r="F160" i="54"/>
  <c r="N34" i="85"/>
  <c r="E77" i="84"/>
  <c r="E137" i="84"/>
  <c r="G113" i="84"/>
  <c r="L247" i="46"/>
  <c r="N83" i="64"/>
  <c r="I185" i="8"/>
  <c r="M96" i="8"/>
  <c r="M99" i="8"/>
  <c r="M97" i="8"/>
  <c r="M100" i="8"/>
  <c r="M98" i="8"/>
  <c r="N247" i="46"/>
  <c r="G84" i="8"/>
  <c r="K87" i="84"/>
  <c r="G146" i="55"/>
  <c r="G172" i="55"/>
  <c r="G171" i="55"/>
  <c r="F49" i="21"/>
  <c r="F96" i="101" s="1"/>
  <c r="F97" i="101" s="1"/>
  <c r="F70" i="21"/>
  <c r="I140" i="8"/>
  <c r="I143" i="8"/>
  <c r="I141" i="8"/>
  <c r="I142" i="8"/>
  <c r="H182" i="8"/>
  <c r="H48" i="97" s="1"/>
  <c r="E253" i="46"/>
  <c r="M171" i="8"/>
  <c r="E146" i="54"/>
  <c r="E140" i="21"/>
  <c r="E142" i="21" s="1"/>
  <c r="L83" i="8"/>
  <c r="I55" i="84"/>
  <c r="I113" i="84"/>
  <c r="H185" i="8"/>
  <c r="J96" i="8"/>
  <c r="J100" i="8"/>
  <c r="J98" i="8"/>
  <c r="J99" i="8"/>
  <c r="J97" i="8"/>
  <c r="J182" i="8"/>
  <c r="J48" i="97" s="1"/>
  <c r="I171" i="8"/>
  <c r="G95" i="21"/>
  <c r="G236" i="101" s="1"/>
  <c r="G237" i="101" s="1"/>
  <c r="G106" i="21"/>
  <c r="G107" i="21" s="1"/>
  <c r="H101" i="21"/>
  <c r="H96" i="21"/>
  <c r="H94" i="21"/>
  <c r="H151" i="21"/>
  <c r="E83" i="8"/>
  <c r="H67" i="36" s="1"/>
  <c r="E135" i="59"/>
  <c r="J83" i="64"/>
  <c r="K135" i="8"/>
  <c r="K137" i="8"/>
  <c r="K138" i="8"/>
  <c r="K136" i="8"/>
  <c r="I247" i="46"/>
  <c r="N102" i="8"/>
  <c r="N105" i="8"/>
  <c r="N103" i="8"/>
  <c r="N106" i="8"/>
  <c r="N104" i="8"/>
  <c r="J247" i="46"/>
  <c r="K140" i="8"/>
  <c r="K141" i="8"/>
  <c r="K143" i="8"/>
  <c r="K142" i="8"/>
  <c r="L199" i="8"/>
  <c r="L250" i="46"/>
  <c r="L77" i="84"/>
  <c r="L137" i="84"/>
  <c r="G100" i="84"/>
  <c r="I146" i="54"/>
  <c r="I171" i="54"/>
  <c r="I172" i="54"/>
  <c r="L146" i="55"/>
  <c r="K146" i="55"/>
  <c r="H171" i="55"/>
  <c r="E146" i="55"/>
  <c r="J243" i="8"/>
  <c r="N135" i="8"/>
  <c r="N138" i="8"/>
  <c r="N136" i="8"/>
  <c r="N137" i="8"/>
  <c r="M247" i="46"/>
  <c r="J185" i="8"/>
  <c r="K100" i="84"/>
  <c r="G146" i="54"/>
  <c r="G172" i="54"/>
  <c r="N172" i="54"/>
  <c r="L172" i="54"/>
  <c r="J172" i="54"/>
  <c r="E171" i="54"/>
  <c r="F171" i="54"/>
  <c r="G171" i="54"/>
  <c r="N164" i="54"/>
  <c r="M164" i="54"/>
  <c r="J164" i="54"/>
  <c r="I164" i="54"/>
  <c r="E164" i="54"/>
  <c r="F164" i="54"/>
  <c r="F51" i="21"/>
  <c r="F166" i="101" s="1"/>
  <c r="F167" i="101" s="1"/>
  <c r="F72" i="21"/>
  <c r="K82" i="8"/>
  <c r="I87" i="84"/>
  <c r="L200" i="8"/>
  <c r="F83" i="8"/>
  <c r="F84" i="8"/>
  <c r="K146" i="54"/>
  <c r="K172" i="54"/>
  <c r="K171" i="54"/>
  <c r="G169" i="21"/>
  <c r="G170" i="21" s="1"/>
  <c r="G176" i="21" s="1"/>
  <c r="G154" i="21"/>
  <c r="G173" i="21"/>
  <c r="G174" i="21" s="1"/>
  <c r="G178" i="21" s="1"/>
  <c r="H114" i="21"/>
  <c r="G171" i="21"/>
  <c r="G172" i="21" s="1"/>
  <c r="G177" i="21" s="1"/>
  <c r="G126" i="21"/>
  <c r="G127" i="21" s="1"/>
  <c r="G124" i="21"/>
  <c r="G125" i="21" s="1"/>
  <c r="G122" i="21"/>
  <c r="G123" i="21" s="1"/>
  <c r="I160" i="80"/>
  <c r="I159" i="80"/>
  <c r="I250" i="46"/>
  <c r="I40" i="84"/>
  <c r="E145" i="54"/>
  <c r="K170" i="54"/>
  <c r="L145" i="54"/>
  <c r="F145" i="54"/>
  <c r="N145" i="54"/>
  <c r="N170" i="54"/>
  <c r="I170" i="54"/>
  <c r="I145" i="54"/>
  <c r="J170" i="54"/>
  <c r="E169" i="54"/>
  <c r="M145" i="54"/>
  <c r="E170" i="54"/>
  <c r="L170" i="54"/>
  <c r="K145" i="54"/>
  <c r="F169" i="54"/>
  <c r="J145" i="54"/>
  <c r="M170" i="54"/>
  <c r="I96" i="8"/>
  <c r="I99" i="8"/>
  <c r="I97" i="8"/>
  <c r="I100" i="8"/>
  <c r="I98" i="8"/>
  <c r="G55" i="84"/>
  <c r="F182" i="8"/>
  <c r="F48" i="97" s="1"/>
  <c r="N161" i="54"/>
  <c r="L161" i="54"/>
  <c r="J161" i="54"/>
  <c r="H161" i="54"/>
  <c r="F161" i="54"/>
  <c r="I161" i="54"/>
  <c r="G97" i="21"/>
  <c r="G306" i="101" s="1"/>
  <c r="G307" i="101" s="1"/>
  <c r="G108" i="21"/>
  <c r="G109" i="21" s="1"/>
  <c r="G152" i="21"/>
  <c r="E84" i="8"/>
  <c r="H72" i="36" s="1"/>
  <c r="E147" i="59"/>
  <c r="K102" i="8"/>
  <c r="K106" i="8"/>
  <c r="K104" i="8"/>
  <c r="K105" i="8"/>
  <c r="K103" i="8"/>
  <c r="L102" i="8"/>
  <c r="L103" i="8"/>
  <c r="L105" i="8"/>
  <c r="L106" i="8"/>
  <c r="L104" i="8"/>
  <c r="N32" i="85"/>
  <c r="K55" i="84"/>
  <c r="F162" i="54"/>
  <c r="M162" i="54"/>
  <c r="N162" i="54"/>
  <c r="I162" i="54"/>
  <c r="J162" i="54"/>
  <c r="G162" i="54"/>
  <c r="E162" i="54"/>
  <c r="J160" i="54"/>
  <c r="K160" i="54"/>
  <c r="N160" i="54"/>
  <c r="G160" i="54"/>
  <c r="F171" i="55"/>
  <c r="I146" i="55"/>
  <c r="N171" i="55"/>
  <c r="M171" i="55"/>
  <c r="I160" i="54"/>
  <c r="E70" i="45"/>
  <c r="E72" i="45" s="1"/>
  <c r="E210" i="45"/>
  <c r="E212" i="45" s="1"/>
  <c r="E214" i="45" s="1"/>
  <c r="E81" i="46" s="1"/>
  <c r="E131" i="77" s="1"/>
  <c r="E143" i="45"/>
  <c r="E145" i="45" s="1"/>
  <c r="F149" i="21"/>
  <c r="F150" i="21"/>
  <c r="J235" i="8"/>
  <c r="I100" i="84"/>
  <c r="L171" i="8"/>
  <c r="I156" i="55"/>
  <c r="J156" i="55"/>
  <c r="G156" i="55"/>
  <c r="E156" i="55"/>
  <c r="F156" i="55"/>
  <c r="M156" i="55"/>
  <c r="N156" i="55"/>
  <c r="K247" i="46"/>
  <c r="K113" i="84"/>
  <c r="I82" i="8"/>
  <c r="L146" i="54"/>
  <c r="L84" i="8"/>
  <c r="I232" i="8"/>
  <c r="J146" i="54"/>
  <c r="G253" i="46"/>
  <c r="K156" i="55"/>
  <c r="G40" i="84"/>
  <c r="K96" i="8"/>
  <c r="K97" i="8"/>
  <c r="K99" i="8"/>
  <c r="K100" i="8"/>
  <c r="K98" i="8"/>
  <c r="M140" i="8"/>
  <c r="M143" i="8"/>
  <c r="M141" i="8"/>
  <c r="M142" i="8"/>
  <c r="K250" i="46"/>
  <c r="L140" i="8"/>
  <c r="L142" i="8"/>
  <c r="L143" i="8"/>
  <c r="L141" i="8"/>
  <c r="K40" i="84"/>
  <c r="M133" i="84"/>
  <c r="N171" i="8"/>
  <c r="F109" i="21"/>
  <c r="L171" i="55"/>
  <c r="I172" i="55"/>
  <c r="M146" i="55"/>
  <c r="K162" i="54"/>
  <c r="L156" i="55"/>
  <c r="K164" i="54"/>
  <c r="J183" i="8" l="1"/>
  <c r="J66" i="97" s="1"/>
  <c r="M183" i="8"/>
  <c r="M66" i="97" s="1"/>
  <c r="L183" i="8"/>
  <c r="L66" i="97" s="1"/>
  <c r="N183" i="8"/>
  <c r="N66" i="97" s="1"/>
  <c r="F61" i="84"/>
  <c r="E52" i="81"/>
  <c r="J52" i="81"/>
  <c r="J42" i="83" s="1"/>
  <c r="J50" i="83" s="1"/>
  <c r="H52" i="81"/>
  <c r="H42" i="83" s="1"/>
  <c r="N52" i="81"/>
  <c r="N42" i="83" s="1"/>
  <c r="N46" i="83" s="1"/>
  <c r="M52" i="81"/>
  <c r="K52" i="81"/>
  <c r="F104" i="84"/>
  <c r="F127" i="84"/>
  <c r="E62" i="68"/>
  <c r="E77" i="68"/>
  <c r="I52" i="81"/>
  <c r="I42" i="83" s="1"/>
  <c r="G52" i="81"/>
  <c r="G42" i="83" s="1"/>
  <c r="F52" i="81"/>
  <c r="L52" i="81"/>
  <c r="L42" i="83" s="1"/>
  <c r="L47" i="83" s="1"/>
  <c r="H81" i="46"/>
  <c r="I81" i="46"/>
  <c r="G183" i="8"/>
  <c r="G66" i="97" s="1"/>
  <c r="K81" i="46"/>
  <c r="J81" i="46"/>
  <c r="K183" i="8"/>
  <c r="K66" i="97" s="1"/>
  <c r="N53" i="8"/>
  <c r="M53" i="8"/>
  <c r="F81" i="46"/>
  <c r="G81" i="46"/>
  <c r="L81" i="46"/>
  <c r="M81" i="46"/>
  <c r="N81" i="46"/>
  <c r="I183" i="8"/>
  <c r="I66" i="97" s="1"/>
  <c r="E127" i="84"/>
  <c r="E104" i="84"/>
  <c r="E61" i="84"/>
  <c r="E139" i="59"/>
  <c r="H61" i="84"/>
  <c r="C64" i="80"/>
  <c r="D53" i="81" s="1"/>
  <c r="E112" i="68"/>
  <c r="E114" i="68" s="1"/>
  <c r="E99" i="68"/>
  <c r="L127" i="84"/>
  <c r="N185" i="8"/>
  <c r="N100" i="97" s="1"/>
  <c r="F39" i="101"/>
  <c r="F40" i="101" s="1"/>
  <c r="F108" i="101"/>
  <c r="F109" i="101" s="1"/>
  <c r="F265" i="101"/>
  <c r="F242" i="101"/>
  <c r="F244" i="101" s="1"/>
  <c r="G240" i="101" s="1"/>
  <c r="G241" i="101" s="1"/>
  <c r="G247" i="101" s="1"/>
  <c r="G248" i="101" s="1"/>
  <c r="G249" i="101" s="1"/>
  <c r="F60" i="101"/>
  <c r="F62" i="101" s="1"/>
  <c r="E71" i="101"/>
  <c r="E74" i="101" s="1"/>
  <c r="F52" i="101"/>
  <c r="F53" i="101" s="1"/>
  <c r="F129" i="101"/>
  <c r="F131" i="101" s="1"/>
  <c r="E140" i="101"/>
  <c r="E143" i="101" s="1"/>
  <c r="F121" i="101"/>
  <c r="F122" i="101" s="1"/>
  <c r="F269" i="101"/>
  <c r="F271" i="101" s="1"/>
  <c r="E280" i="101"/>
  <c r="E283" i="101" s="1"/>
  <c r="F261" i="101"/>
  <c r="F262" i="101" s="1"/>
  <c r="F335" i="101"/>
  <c r="F312" i="101"/>
  <c r="F314" i="101" s="1"/>
  <c r="G310" i="101" s="1"/>
  <c r="G311" i="101" s="1"/>
  <c r="G317" i="101" s="1"/>
  <c r="G318" i="101" s="1"/>
  <c r="G319" i="101" s="1"/>
  <c r="F178" i="101"/>
  <c r="F179" i="101" s="1"/>
  <c r="E350" i="101"/>
  <c r="E353" i="101" s="1"/>
  <c r="F331" i="101"/>
  <c r="F332" i="101" s="1"/>
  <c r="F339" i="101"/>
  <c r="F341" i="101" s="1"/>
  <c r="F199" i="101"/>
  <c r="F201" i="101" s="1"/>
  <c r="F191" i="101"/>
  <c r="F192" i="101" s="1"/>
  <c r="E210" i="101"/>
  <c r="E213" i="101" s="1"/>
  <c r="N127" i="84"/>
  <c r="E298" i="59"/>
  <c r="L155" i="81"/>
  <c r="H155" i="81"/>
  <c r="N155" i="81"/>
  <c r="F155" i="81"/>
  <c r="I155" i="81"/>
  <c r="K155" i="81"/>
  <c r="G155" i="81"/>
  <c r="J155" i="81"/>
  <c r="M155" i="81"/>
  <c r="E155" i="81"/>
  <c r="N61" i="84"/>
  <c r="M61" i="84"/>
  <c r="F42" i="83"/>
  <c r="M42" i="83"/>
  <c r="M49" i="83" s="1"/>
  <c r="E42" i="83"/>
  <c r="K42" i="83"/>
  <c r="K50" i="83" s="1"/>
  <c r="M185" i="8"/>
  <c r="K46" i="84"/>
  <c r="E100" i="97"/>
  <c r="J100" i="97"/>
  <c r="M48" i="97"/>
  <c r="F185" i="8"/>
  <c r="I100" i="97"/>
  <c r="N48" i="97"/>
  <c r="H100" i="97"/>
  <c r="E273" i="59"/>
  <c r="I127" i="84"/>
  <c r="E91" i="84"/>
  <c r="E117" i="84"/>
  <c r="M117" i="84"/>
  <c r="H104" i="84"/>
  <c r="M46" i="84"/>
  <c r="M91" i="84"/>
  <c r="H127" i="84"/>
  <c r="M104" i="84"/>
  <c r="H91" i="84"/>
  <c r="M127" i="84"/>
  <c r="I46" i="84"/>
  <c r="J83" i="8"/>
  <c r="E293" i="59"/>
  <c r="E128" i="84" s="1"/>
  <c r="H117" i="84"/>
  <c r="L117" i="84"/>
  <c r="G153" i="21"/>
  <c r="H46" i="84"/>
  <c r="E155" i="59"/>
  <c r="F85" i="8"/>
  <c r="I61" i="84"/>
  <c r="J61" i="84"/>
  <c r="F46" i="84"/>
  <c r="I104" i="84"/>
  <c r="F125" i="8"/>
  <c r="J127" i="84"/>
  <c r="E151" i="59"/>
  <c r="J104" i="84"/>
  <c r="F91" i="84"/>
  <c r="H128" i="84"/>
  <c r="E268" i="59"/>
  <c r="E283" i="59"/>
  <c r="E183" i="8"/>
  <c r="F117" i="84"/>
  <c r="N46" i="84"/>
  <c r="J91" i="84"/>
  <c r="E278" i="59"/>
  <c r="G85" i="8"/>
  <c r="G46" i="84"/>
  <c r="E288" i="59"/>
  <c r="F118" i="84" s="1"/>
  <c r="E263" i="59"/>
  <c r="H47" i="84" s="1"/>
  <c r="G91" i="84"/>
  <c r="N91" i="84"/>
  <c r="G117" i="84"/>
  <c r="N117" i="84"/>
  <c r="I91" i="84"/>
  <c r="K77" i="84"/>
  <c r="D77" i="84" s="1"/>
  <c r="O77" i="84" s="1"/>
  <c r="I117" i="84"/>
  <c r="K137" i="84"/>
  <c r="D137" i="84" s="1"/>
  <c r="O137" i="84" s="1"/>
  <c r="E58" i="8"/>
  <c r="E104" i="59"/>
  <c r="E106" i="59" s="1"/>
  <c r="H58" i="8"/>
  <c r="G53" i="8"/>
  <c r="K59" i="8"/>
  <c r="J59" i="8"/>
  <c r="F58" i="8"/>
  <c r="K53" i="8"/>
  <c r="M59" i="8"/>
  <c r="L59" i="8"/>
  <c r="M58" i="8"/>
  <c r="L58" i="8"/>
  <c r="J53" i="8"/>
  <c r="H59" i="8"/>
  <c r="F59" i="8"/>
  <c r="E92" i="59"/>
  <c r="E94" i="59" s="1"/>
  <c r="E53" i="8"/>
  <c r="E108" i="59"/>
  <c r="E110" i="59" s="1"/>
  <c r="E59" i="8"/>
  <c r="G58" i="8"/>
  <c r="N59" i="8"/>
  <c r="I58" i="8"/>
  <c r="F53" i="8"/>
  <c r="N58" i="8"/>
  <c r="K58" i="8"/>
  <c r="I59" i="8"/>
  <c r="J58" i="8"/>
  <c r="I53" i="8"/>
  <c r="L53" i="8"/>
  <c r="H53" i="8"/>
  <c r="G59" i="8"/>
  <c r="E75" i="59"/>
  <c r="E63" i="59"/>
  <c r="E59" i="59"/>
  <c r="E51" i="59"/>
  <c r="E47" i="59"/>
  <c r="G125" i="8"/>
  <c r="P148" i="54"/>
  <c r="E159" i="54" s="1"/>
  <c r="E118" i="54" s="1"/>
  <c r="F183" i="8"/>
  <c r="F66" i="97" s="1"/>
  <c r="H183" i="8"/>
  <c r="H66" i="97" s="1"/>
  <c r="J125" i="8"/>
  <c r="K125" i="8"/>
  <c r="I125" i="8"/>
  <c r="P147" i="54"/>
  <c r="N158" i="54" s="1"/>
  <c r="N117" i="54" s="1"/>
  <c r="L61" i="84"/>
  <c r="L46" i="84"/>
  <c r="L104" i="84"/>
  <c r="E280" i="69"/>
  <c r="E289" i="69" s="1"/>
  <c r="L91" i="84"/>
  <c r="N19" i="23"/>
  <c r="E196" i="69"/>
  <c r="E200" i="69" s="1"/>
  <c r="E212" i="69" s="1"/>
  <c r="N125" i="8"/>
  <c r="E64" i="69"/>
  <c r="E73" i="69" s="1"/>
  <c r="H62" i="21"/>
  <c r="H64" i="21"/>
  <c r="H65" i="21" s="1"/>
  <c r="H50" i="21"/>
  <c r="D55" i="84"/>
  <c r="O55" i="84" s="1"/>
  <c r="D113" i="84"/>
  <c r="O113" i="84" s="1"/>
  <c r="D87" i="84"/>
  <c r="O87" i="84" s="1"/>
  <c r="N35" i="85"/>
  <c r="G127" i="84"/>
  <c r="D123" i="84"/>
  <c r="O123" i="84" s="1"/>
  <c r="D133" i="84"/>
  <c r="O133" i="84" s="1"/>
  <c r="D40" i="84"/>
  <c r="O40" i="84" s="1"/>
  <c r="D100" i="84"/>
  <c r="O100" i="84" s="1"/>
  <c r="G47" i="84"/>
  <c r="G61" i="84"/>
  <c r="G104" i="84"/>
  <c r="J117" i="84"/>
  <c r="K91" i="84"/>
  <c r="J46" i="84"/>
  <c r="K117" i="84"/>
  <c r="H105" i="84"/>
  <c r="H92" i="84"/>
  <c r="I84" i="8"/>
  <c r="K253" i="46"/>
  <c r="J85" i="8"/>
  <c r="I19" i="23"/>
  <c r="F19" i="23"/>
  <c r="P145" i="54"/>
  <c r="H156" i="54" s="1"/>
  <c r="H115" i="54" s="1"/>
  <c r="K85" i="8"/>
  <c r="L185" i="8"/>
  <c r="J253" i="46"/>
  <c r="J84" i="64"/>
  <c r="J86" i="64" s="1"/>
  <c r="J34" i="8" s="1"/>
  <c r="H95" i="21"/>
  <c r="H236" i="101" s="1"/>
  <c r="H237" i="101" s="1"/>
  <c r="H106" i="21"/>
  <c r="H107" i="21" s="1"/>
  <c r="K182" i="8"/>
  <c r="K48" i="97" s="1"/>
  <c r="E92" i="84"/>
  <c r="G185" i="8"/>
  <c r="K104" i="84"/>
  <c r="K61" i="84"/>
  <c r="K127" i="84"/>
  <c r="F71" i="21"/>
  <c r="F140" i="21"/>
  <c r="N84" i="64"/>
  <c r="N86" i="64" s="1"/>
  <c r="N34" i="8" s="1"/>
  <c r="L253" i="46"/>
  <c r="N85" i="8"/>
  <c r="M83" i="8"/>
  <c r="G47" i="21"/>
  <c r="G27" i="101" s="1"/>
  <c r="G28" i="101" s="1"/>
  <c r="G68" i="21"/>
  <c r="G150" i="21"/>
  <c r="G149" i="21"/>
  <c r="I85" i="8"/>
  <c r="K78" i="84"/>
  <c r="L85" i="8"/>
  <c r="H173" i="21"/>
  <c r="H174" i="21" s="1"/>
  <c r="H178" i="21" s="1"/>
  <c r="H154" i="21"/>
  <c r="H171" i="21"/>
  <c r="H172" i="21" s="1"/>
  <c r="H177" i="21" s="1"/>
  <c r="H126" i="21"/>
  <c r="H127" i="21" s="1"/>
  <c r="H124" i="21"/>
  <c r="H125" i="21" s="1"/>
  <c r="H122" i="21"/>
  <c r="H123" i="21" s="1"/>
  <c r="H169" i="21"/>
  <c r="H170" i="21" s="1"/>
  <c r="H176" i="21" s="1"/>
  <c r="M253" i="46"/>
  <c r="P146" i="55"/>
  <c r="E157" i="55" s="1"/>
  <c r="E116" i="55" s="1"/>
  <c r="E98" i="55" s="1"/>
  <c r="I253" i="46"/>
  <c r="H97" i="21"/>
  <c r="H306" i="101" s="1"/>
  <c r="H307" i="101" s="1"/>
  <c r="H108" i="21"/>
  <c r="H109" i="21" s="1"/>
  <c r="F25" i="64"/>
  <c r="M84" i="8"/>
  <c r="G49" i="21"/>
  <c r="G96" i="101" s="1"/>
  <c r="G97" i="101" s="1"/>
  <c r="G70" i="21"/>
  <c r="H40" i="21"/>
  <c r="H30" i="21"/>
  <c r="H29" i="21"/>
  <c r="H28" i="21"/>
  <c r="H56" i="21"/>
  <c r="H57" i="21" s="1"/>
  <c r="H54" i="21"/>
  <c r="H55" i="21" s="1"/>
  <c r="H48" i="21"/>
  <c r="H46" i="21"/>
  <c r="H42" i="21"/>
  <c r="H148" i="21"/>
  <c r="H133" i="21"/>
  <c r="H134" i="21" s="1"/>
  <c r="H41" i="21"/>
  <c r="F69" i="21"/>
  <c r="F137" i="21"/>
  <c r="K83" i="8"/>
  <c r="F73" i="21"/>
  <c r="F143" i="21"/>
  <c r="H138" i="84"/>
  <c r="L182" i="8"/>
  <c r="L48" i="97" s="1"/>
  <c r="N253" i="46"/>
  <c r="M85" i="8"/>
  <c r="G51" i="21"/>
  <c r="G166" i="101" s="1"/>
  <c r="G167" i="101" s="1"/>
  <c r="G72" i="21"/>
  <c r="L138" i="84"/>
  <c r="I83" i="8"/>
  <c r="G182" i="8"/>
  <c r="G48" i="97" s="1"/>
  <c r="I182" i="8"/>
  <c r="I48" i="97" s="1"/>
  <c r="K185" i="8"/>
  <c r="G156" i="21"/>
  <c r="G155" i="21"/>
  <c r="K84" i="8"/>
  <c r="H152" i="21"/>
  <c r="P146" i="54"/>
  <c r="I157" i="54" s="1"/>
  <c r="I116" i="54" s="1"/>
  <c r="L78" i="84"/>
  <c r="E29" i="64"/>
  <c r="E35" i="64" s="1"/>
  <c r="AA17" i="23" l="1"/>
  <c r="N17" i="23" s="1"/>
  <c r="AA20" i="23"/>
  <c r="N20" i="23" s="1"/>
  <c r="M53" i="83"/>
  <c r="C66" i="80"/>
  <c r="D55" i="81" s="1"/>
  <c r="C125" i="80"/>
  <c r="D114" i="81" s="1"/>
  <c r="N51" i="8"/>
  <c r="M51" i="8"/>
  <c r="M40" i="8"/>
  <c r="N40" i="8"/>
  <c r="M52" i="8"/>
  <c r="N52" i="8"/>
  <c r="C97" i="80"/>
  <c r="D86" i="81" s="1"/>
  <c r="C94" i="80"/>
  <c r="D83" i="81" s="1"/>
  <c r="L83" i="81" s="1"/>
  <c r="C65" i="80"/>
  <c r="D54" i="81" s="1"/>
  <c r="C54" i="81" s="1"/>
  <c r="C105" i="80"/>
  <c r="D94" i="81" s="1"/>
  <c r="J138" i="84"/>
  <c r="K105" i="84"/>
  <c r="C75" i="80"/>
  <c r="D64" i="81" s="1"/>
  <c r="C106" i="80"/>
  <c r="D95" i="81" s="1"/>
  <c r="C83" i="80"/>
  <c r="D72" i="81" s="1"/>
  <c r="C134" i="80"/>
  <c r="D123" i="81" s="1"/>
  <c r="C111" i="80"/>
  <c r="D100" i="81" s="1"/>
  <c r="C98" i="80"/>
  <c r="D87" i="81" s="1"/>
  <c r="C119" i="80"/>
  <c r="D108" i="81" s="1"/>
  <c r="C123" i="80"/>
  <c r="D112" i="81" s="1"/>
  <c r="C100" i="80"/>
  <c r="D89" i="81" s="1"/>
  <c r="C76" i="80"/>
  <c r="D65" i="81" s="1"/>
  <c r="C128" i="80"/>
  <c r="D117" i="81" s="1"/>
  <c r="C115" i="80"/>
  <c r="D104" i="81" s="1"/>
  <c r="C136" i="80"/>
  <c r="D125" i="81" s="1"/>
  <c r="C73" i="80"/>
  <c r="D62" i="81" s="1"/>
  <c r="C85" i="80"/>
  <c r="D74" i="81" s="1"/>
  <c r="C132" i="80"/>
  <c r="D121" i="81" s="1"/>
  <c r="H86" i="81"/>
  <c r="G86" i="81"/>
  <c r="F86" i="81"/>
  <c r="E86" i="81"/>
  <c r="K86" i="81"/>
  <c r="L86" i="81"/>
  <c r="M86" i="81"/>
  <c r="J86" i="81"/>
  <c r="N86" i="81"/>
  <c r="I86" i="81"/>
  <c r="D189" i="81"/>
  <c r="C86" i="81"/>
  <c r="C55" i="81"/>
  <c r="D158" i="81"/>
  <c r="J55" i="81"/>
  <c r="E55" i="81"/>
  <c r="L55" i="81"/>
  <c r="L79" i="83" s="1"/>
  <c r="F55" i="81"/>
  <c r="I55" i="81"/>
  <c r="H55" i="81"/>
  <c r="G55" i="81"/>
  <c r="G79" i="83" s="1"/>
  <c r="G82" i="83" s="1"/>
  <c r="K55" i="81"/>
  <c r="N55" i="81"/>
  <c r="M55" i="81"/>
  <c r="E114" i="81"/>
  <c r="I114" i="81"/>
  <c r="N114" i="81"/>
  <c r="J114" i="81"/>
  <c r="M114" i="81"/>
  <c r="G114" i="81"/>
  <c r="K114" i="81"/>
  <c r="F114" i="81"/>
  <c r="C114" i="81"/>
  <c r="L114" i="81"/>
  <c r="H114" i="81"/>
  <c r="D217" i="81"/>
  <c r="I83" i="81"/>
  <c r="M83" i="81"/>
  <c r="C83" i="81"/>
  <c r="H94" i="81"/>
  <c r="E94" i="81"/>
  <c r="F94" i="81"/>
  <c r="G94" i="81"/>
  <c r="J94" i="81"/>
  <c r="N94" i="81"/>
  <c r="L94" i="81"/>
  <c r="K94" i="81"/>
  <c r="M94" i="81"/>
  <c r="I94" i="81"/>
  <c r="D197" i="81"/>
  <c r="C94" i="81"/>
  <c r="C93" i="80"/>
  <c r="D82" i="81" s="1"/>
  <c r="C102" i="80"/>
  <c r="D91" i="81" s="1"/>
  <c r="C146" i="80"/>
  <c r="D135" i="81" s="1"/>
  <c r="C72" i="80"/>
  <c r="D61" i="81" s="1"/>
  <c r="C116" i="80"/>
  <c r="D105" i="81" s="1"/>
  <c r="C141" i="80"/>
  <c r="D130" i="81" s="1"/>
  <c r="C150" i="80"/>
  <c r="D139" i="81" s="1"/>
  <c r="C92" i="80"/>
  <c r="D81" i="81" s="1"/>
  <c r="C101" i="80"/>
  <c r="D90" i="81" s="1"/>
  <c r="C110" i="80"/>
  <c r="D99" i="81" s="1"/>
  <c r="C127" i="80"/>
  <c r="D116" i="81" s="1"/>
  <c r="C144" i="80"/>
  <c r="D133" i="81" s="1"/>
  <c r="C70" i="80"/>
  <c r="D59" i="81" s="1"/>
  <c r="C87" i="80"/>
  <c r="D76" i="81" s="1"/>
  <c r="C104" i="80"/>
  <c r="D93" i="81" s="1"/>
  <c r="C129" i="80"/>
  <c r="D118" i="81" s="1"/>
  <c r="C138" i="80"/>
  <c r="D127" i="81" s="1"/>
  <c r="C53" i="81"/>
  <c r="H53" i="81"/>
  <c r="H55" i="83" s="1"/>
  <c r="H61" i="83" s="1"/>
  <c r="J53" i="81"/>
  <c r="J55" i="83" s="1"/>
  <c r="J64" i="83" s="1"/>
  <c r="K53" i="81"/>
  <c r="K55" i="83" s="1"/>
  <c r="K61" i="83" s="1"/>
  <c r="F53" i="81"/>
  <c r="F55" i="83" s="1"/>
  <c r="F64" i="83" s="1"/>
  <c r="I53" i="81"/>
  <c r="I55" i="83" s="1"/>
  <c r="I59" i="83" s="1"/>
  <c r="M53" i="81"/>
  <c r="M55" i="83" s="1"/>
  <c r="M60" i="83" s="1"/>
  <c r="N53" i="81"/>
  <c r="N55" i="83" s="1"/>
  <c r="N66" i="83" s="1"/>
  <c r="D156" i="81"/>
  <c r="L53" i="81"/>
  <c r="L55" i="83" s="1"/>
  <c r="L62" i="83" s="1"/>
  <c r="E53" i="81"/>
  <c r="E55" i="83" s="1"/>
  <c r="E57" i="83" s="1"/>
  <c r="G53" i="81"/>
  <c r="G55" i="83" s="1"/>
  <c r="G62" i="83" s="1"/>
  <c r="C124" i="80"/>
  <c r="D113" i="81" s="1"/>
  <c r="C133" i="80"/>
  <c r="D122" i="81" s="1"/>
  <c r="C142" i="80"/>
  <c r="D131" i="81" s="1"/>
  <c r="C68" i="80"/>
  <c r="D57" i="81" s="1"/>
  <c r="C112" i="80"/>
  <c r="D101" i="81" s="1"/>
  <c r="C89" i="80"/>
  <c r="D78" i="81" s="1"/>
  <c r="C82" i="80"/>
  <c r="D71" i="81" s="1"/>
  <c r="C99" i="80"/>
  <c r="D88" i="81" s="1"/>
  <c r="C143" i="80"/>
  <c r="D132" i="81" s="1"/>
  <c r="C77" i="80"/>
  <c r="D66" i="81" s="1"/>
  <c r="C86" i="80"/>
  <c r="D75" i="81" s="1"/>
  <c r="C103" i="80"/>
  <c r="D92" i="81" s="1"/>
  <c r="C120" i="80"/>
  <c r="D109" i="81" s="1"/>
  <c r="C145" i="80"/>
  <c r="D134" i="81" s="1"/>
  <c r="G54" i="81"/>
  <c r="G68" i="83" s="1"/>
  <c r="G77" i="83" s="1"/>
  <c r="C80" i="80"/>
  <c r="D69" i="81" s="1"/>
  <c r="C121" i="80"/>
  <c r="D110" i="81" s="1"/>
  <c r="C114" i="80"/>
  <c r="D103" i="81" s="1"/>
  <c r="C131" i="80"/>
  <c r="D120" i="81" s="1"/>
  <c r="C148" i="80"/>
  <c r="D137" i="81" s="1"/>
  <c r="C74" i="80"/>
  <c r="D63" i="81" s="1"/>
  <c r="C91" i="80"/>
  <c r="D80" i="81" s="1"/>
  <c r="C135" i="80"/>
  <c r="D124" i="81" s="1"/>
  <c r="C69" i="80"/>
  <c r="D58" i="81" s="1"/>
  <c r="C78" i="80"/>
  <c r="D67" i="81" s="1"/>
  <c r="C95" i="80"/>
  <c r="D84" i="81" s="1"/>
  <c r="C139" i="80"/>
  <c r="D128" i="81" s="1"/>
  <c r="C108" i="80"/>
  <c r="D97" i="81" s="1"/>
  <c r="C117" i="80"/>
  <c r="D106" i="81" s="1"/>
  <c r="C126" i="80"/>
  <c r="D115" i="81" s="1"/>
  <c r="C79" i="80"/>
  <c r="D68" i="81" s="1"/>
  <c r="C96" i="80"/>
  <c r="D85" i="81" s="1"/>
  <c r="C137" i="80"/>
  <c r="D126" i="81" s="1"/>
  <c r="C130" i="80"/>
  <c r="D119" i="81" s="1"/>
  <c r="C147" i="80"/>
  <c r="D136" i="81" s="1"/>
  <c r="C81" i="80"/>
  <c r="D70" i="81" s="1"/>
  <c r="C90" i="80"/>
  <c r="D79" i="81" s="1"/>
  <c r="C107" i="80"/>
  <c r="D96" i="81" s="1"/>
  <c r="C140" i="80"/>
  <c r="D129" i="81" s="1"/>
  <c r="C149" i="80"/>
  <c r="D138" i="81" s="1"/>
  <c r="C67" i="80"/>
  <c r="D56" i="81" s="1"/>
  <c r="C84" i="80"/>
  <c r="D73" i="81" s="1"/>
  <c r="C109" i="80"/>
  <c r="D98" i="81" s="1"/>
  <c r="C118" i="80"/>
  <c r="D107" i="81" s="1"/>
  <c r="C71" i="80"/>
  <c r="D60" i="81" s="1"/>
  <c r="C88" i="80"/>
  <c r="D77" i="81" s="1"/>
  <c r="C113" i="80"/>
  <c r="D102" i="81" s="1"/>
  <c r="C122" i="80"/>
  <c r="D111" i="81" s="1"/>
  <c r="E138" i="84"/>
  <c r="G312" i="101"/>
  <c r="G314" i="101" s="1"/>
  <c r="H310" i="101" s="1"/>
  <c r="H311" i="101" s="1"/>
  <c r="H317" i="101" s="1"/>
  <c r="H318" i="101" s="1"/>
  <c r="H319" i="101" s="1"/>
  <c r="G335" i="101"/>
  <c r="F56" i="101"/>
  <c r="F63" i="101" s="1"/>
  <c r="G52" i="101" s="1"/>
  <c r="G53" i="101" s="1"/>
  <c r="F33" i="101"/>
  <c r="F35" i="101" s="1"/>
  <c r="G31" i="101" s="1"/>
  <c r="G32" i="101" s="1"/>
  <c r="G38" i="101" s="1"/>
  <c r="G39" i="101" s="1"/>
  <c r="G40" i="101" s="1"/>
  <c r="F342" i="101"/>
  <c r="F350" i="101" s="1"/>
  <c r="F353" i="101" s="1"/>
  <c r="F195" i="101"/>
  <c r="F202" i="101" s="1"/>
  <c r="G191" i="101" s="1"/>
  <c r="G192" i="101" s="1"/>
  <c r="F172" i="101"/>
  <c r="F174" i="101" s="1"/>
  <c r="G170" i="101" s="1"/>
  <c r="G171" i="101" s="1"/>
  <c r="G177" i="101" s="1"/>
  <c r="G178" i="101" s="1"/>
  <c r="G179" i="101" s="1"/>
  <c r="G265" i="101"/>
  <c r="G242" i="101"/>
  <c r="G244" i="101" s="1"/>
  <c r="H240" i="101" s="1"/>
  <c r="H241" i="101" s="1"/>
  <c r="H247" i="101" s="1"/>
  <c r="H248" i="101" s="1"/>
  <c r="H249" i="101" s="1"/>
  <c r="F125" i="101"/>
  <c r="F132" i="101" s="1"/>
  <c r="G121" i="101" s="1"/>
  <c r="G122" i="101" s="1"/>
  <c r="F102" i="101"/>
  <c r="F104" i="101" s="1"/>
  <c r="G100" i="101" s="1"/>
  <c r="G101" i="101" s="1"/>
  <c r="G107" i="101" s="1"/>
  <c r="G108" i="101" s="1"/>
  <c r="G109" i="101" s="1"/>
  <c r="F272" i="101"/>
  <c r="G261" i="101" s="1"/>
  <c r="G262" i="101" s="1"/>
  <c r="J49" i="83"/>
  <c r="L128" i="84"/>
  <c r="N62" i="84"/>
  <c r="E105" i="84"/>
  <c r="E78" i="84"/>
  <c r="H118" i="84"/>
  <c r="F128" i="84"/>
  <c r="M46" i="83"/>
  <c r="M45" i="83"/>
  <c r="G138" i="84"/>
  <c r="M47" i="83"/>
  <c r="M44" i="83"/>
  <c r="M52" i="83"/>
  <c r="M51" i="83"/>
  <c r="J48" i="83"/>
  <c r="M48" i="83"/>
  <c r="M50" i="83"/>
  <c r="J44" i="83"/>
  <c r="J53" i="83"/>
  <c r="J52" i="83"/>
  <c r="K47" i="83"/>
  <c r="K44" i="83"/>
  <c r="N47" i="83"/>
  <c r="K52" i="83"/>
  <c r="N48" i="83"/>
  <c r="H62" i="84"/>
  <c r="G105" i="84"/>
  <c r="N105" i="84"/>
  <c r="G92" i="84"/>
  <c r="J45" i="83"/>
  <c r="J46" i="83"/>
  <c r="N53" i="83"/>
  <c r="N50" i="83"/>
  <c r="K46" i="83"/>
  <c r="J47" i="83"/>
  <c r="J51" i="83"/>
  <c r="N49" i="83"/>
  <c r="K49" i="83"/>
  <c r="N51" i="83"/>
  <c r="N44" i="83"/>
  <c r="N52" i="83"/>
  <c r="L52" i="83"/>
  <c r="K51" i="83"/>
  <c r="K48" i="83"/>
  <c r="N45" i="83"/>
  <c r="L49" i="83"/>
  <c r="K45" i="83"/>
  <c r="K53" i="83"/>
  <c r="N43" i="83"/>
  <c r="L43" i="83"/>
  <c r="I43" i="83"/>
  <c r="I49" i="83" s="1"/>
  <c r="E43" i="83"/>
  <c r="E51" i="83" s="1"/>
  <c r="F43" i="83"/>
  <c r="F48" i="83" s="1"/>
  <c r="L50" i="83"/>
  <c r="L46" i="83"/>
  <c r="L51" i="83"/>
  <c r="G43" i="83"/>
  <c r="G50" i="83" s="1"/>
  <c r="L48" i="83"/>
  <c r="L45" i="83"/>
  <c r="L53" i="83"/>
  <c r="H43" i="83"/>
  <c r="H53" i="83" s="1"/>
  <c r="K43" i="83"/>
  <c r="J43" i="83"/>
  <c r="L44" i="83"/>
  <c r="M43" i="83"/>
  <c r="M100" i="97"/>
  <c r="G81" i="83"/>
  <c r="F62" i="84"/>
  <c r="E62" i="84"/>
  <c r="E47" i="84"/>
  <c r="G100" i="97"/>
  <c r="K100" i="97"/>
  <c r="L100" i="97"/>
  <c r="E66" i="97"/>
  <c r="F100" i="97"/>
  <c r="I44" i="83"/>
  <c r="I52" i="83"/>
  <c r="I53" i="83"/>
  <c r="I46" i="83"/>
  <c r="I45" i="83"/>
  <c r="H46" i="83"/>
  <c r="I50" i="83"/>
  <c r="I51" i="83"/>
  <c r="I48" i="83"/>
  <c r="I47" i="83"/>
  <c r="H50" i="83"/>
  <c r="H47" i="83"/>
  <c r="H48" i="83"/>
  <c r="H45" i="83"/>
  <c r="H52" i="83"/>
  <c r="H51" i="83"/>
  <c r="H44" i="83"/>
  <c r="H49" i="83"/>
  <c r="E47" i="83"/>
  <c r="F53" i="83"/>
  <c r="F49" i="83"/>
  <c r="F44" i="83"/>
  <c r="F52" i="83"/>
  <c r="E46" i="83"/>
  <c r="E53" i="83"/>
  <c r="F50" i="83"/>
  <c r="F51" i="83"/>
  <c r="F46" i="83"/>
  <c r="E48" i="83"/>
  <c r="F47" i="83"/>
  <c r="F45" i="83"/>
  <c r="E45" i="83"/>
  <c r="E50" i="83"/>
  <c r="E49" i="83"/>
  <c r="E44" i="83"/>
  <c r="E52" i="83"/>
  <c r="M158" i="54"/>
  <c r="M117" i="54" s="1"/>
  <c r="K138" i="84"/>
  <c r="F78" i="84"/>
  <c r="G65" i="83"/>
  <c r="N118" i="84"/>
  <c r="G78" i="84"/>
  <c r="N92" i="84"/>
  <c r="F92" i="84"/>
  <c r="F105" i="84"/>
  <c r="K92" i="84"/>
  <c r="J78" i="84"/>
  <c r="E118" i="84"/>
  <c r="K47" i="84"/>
  <c r="I159" i="54"/>
  <c r="I118" i="54" s="1"/>
  <c r="F47" i="84"/>
  <c r="D46" i="84"/>
  <c r="O46" i="84" s="1"/>
  <c r="H78" i="84"/>
  <c r="L118" i="84"/>
  <c r="E19" i="23"/>
  <c r="G19" i="23"/>
  <c r="N159" i="54"/>
  <c r="N118" i="54" s="1"/>
  <c r="G159" i="54"/>
  <c r="G118" i="54" s="1"/>
  <c r="K159" i="54"/>
  <c r="K118" i="54" s="1"/>
  <c r="H159" i="54"/>
  <c r="H118" i="54" s="1"/>
  <c r="H100" i="54" s="1"/>
  <c r="L159" i="54"/>
  <c r="L118" i="54" s="1"/>
  <c r="F159" i="54"/>
  <c r="F118" i="54" s="1"/>
  <c r="M159" i="54"/>
  <c r="M118" i="54" s="1"/>
  <c r="E100" i="54"/>
  <c r="J159" i="54"/>
  <c r="J118" i="54" s="1"/>
  <c r="G128" i="84"/>
  <c r="N61" i="8"/>
  <c r="E46" i="8"/>
  <c r="D69" i="40" s="1"/>
  <c r="E146" i="59"/>
  <c r="K46" i="8"/>
  <c r="H45" i="8"/>
  <c r="J61" i="8"/>
  <c r="E84" i="59"/>
  <c r="E86" i="59" s="1"/>
  <c r="E51" i="8"/>
  <c r="K51" i="8"/>
  <c r="I51" i="8"/>
  <c r="L51" i="8"/>
  <c r="E52" i="8"/>
  <c r="E88" i="59"/>
  <c r="E90" i="59" s="1"/>
  <c r="E100" i="59"/>
  <c r="E102" i="59" s="1"/>
  <c r="E56" i="8"/>
  <c r="F56" i="8"/>
  <c r="F61" i="8"/>
  <c r="L52" i="8"/>
  <c r="F52" i="8"/>
  <c r="N55" i="8"/>
  <c r="M61" i="8"/>
  <c r="G55" i="8"/>
  <c r="J52" i="8"/>
  <c r="I56" i="8"/>
  <c r="H56" i="8"/>
  <c r="G56" i="8"/>
  <c r="N56" i="8"/>
  <c r="L56" i="8"/>
  <c r="K56" i="8"/>
  <c r="L55" i="8"/>
  <c r="H40" i="8"/>
  <c r="I40" i="8"/>
  <c r="I46" i="8"/>
  <c r="N45" i="8"/>
  <c r="I45" i="8"/>
  <c r="L45" i="8"/>
  <c r="M46" i="8"/>
  <c r="F45" i="8"/>
  <c r="I61" i="8"/>
  <c r="G46" i="8"/>
  <c r="G45" i="8"/>
  <c r="E40" i="8"/>
  <c r="D26" i="40" s="1"/>
  <c r="E130" i="59"/>
  <c r="E132" i="59" s="1"/>
  <c r="N42" i="84" s="1"/>
  <c r="H46" i="8"/>
  <c r="K40" i="8"/>
  <c r="J46" i="8"/>
  <c r="G40" i="8"/>
  <c r="E45" i="8"/>
  <c r="D63" i="40" s="1"/>
  <c r="E142" i="59"/>
  <c r="E144" i="59" s="1"/>
  <c r="K61" i="8"/>
  <c r="L61" i="8"/>
  <c r="H51" i="8"/>
  <c r="F51" i="8"/>
  <c r="J51" i="8"/>
  <c r="G51" i="8"/>
  <c r="E55" i="8"/>
  <c r="E96" i="59"/>
  <c r="E98" i="59" s="1"/>
  <c r="E61" i="8"/>
  <c r="E112" i="59"/>
  <c r="E114" i="59" s="1"/>
  <c r="H61" i="8"/>
  <c r="G52" i="8"/>
  <c r="I52" i="8"/>
  <c r="G61" i="8"/>
  <c r="I55" i="8"/>
  <c r="F55" i="8"/>
  <c r="K55" i="8"/>
  <c r="K52" i="8"/>
  <c r="J56" i="8"/>
  <c r="H52" i="8"/>
  <c r="H55" i="8"/>
  <c r="M56" i="8"/>
  <c r="M55" i="8"/>
  <c r="J55" i="8"/>
  <c r="L40" i="8"/>
  <c r="J45" i="8"/>
  <c r="K45" i="8"/>
  <c r="F40" i="8"/>
  <c r="N46" i="8"/>
  <c r="F46" i="8"/>
  <c r="J40" i="8"/>
  <c r="M45" i="8"/>
  <c r="L46" i="8"/>
  <c r="F138" i="84"/>
  <c r="G118" i="84"/>
  <c r="N14" i="23"/>
  <c r="M19" i="23"/>
  <c r="N12" i="23"/>
  <c r="N82" i="58" s="1"/>
  <c r="N126" i="58" s="1"/>
  <c r="N13" i="23"/>
  <c r="H158" i="54"/>
  <c r="H117" i="54" s="1"/>
  <c r="L158" i="54"/>
  <c r="L117" i="54" s="1"/>
  <c r="E158" i="54"/>
  <c r="E117" i="54" s="1"/>
  <c r="E99" i="54" s="1"/>
  <c r="G158" i="54"/>
  <c r="G117" i="54" s="1"/>
  <c r="G99" i="54" s="1"/>
  <c r="I158" i="54"/>
  <c r="I117" i="54" s="1"/>
  <c r="I99" i="54" s="1"/>
  <c r="K158" i="54"/>
  <c r="K117" i="54" s="1"/>
  <c r="L62" i="84"/>
  <c r="F158" i="54"/>
  <c r="F117" i="54" s="1"/>
  <c r="J158" i="54"/>
  <c r="J117" i="54" s="1"/>
  <c r="J99" i="54" s="1"/>
  <c r="I26" i="23"/>
  <c r="L26" i="23"/>
  <c r="D91" i="84"/>
  <c r="O91" i="84" s="1"/>
  <c r="L105" i="84"/>
  <c r="L92" i="84"/>
  <c r="H153" i="21"/>
  <c r="L19" i="23"/>
  <c r="K19" i="23"/>
  <c r="K26" i="23"/>
  <c r="J19" i="23"/>
  <c r="G156" i="54"/>
  <c r="G115" i="54" s="1"/>
  <c r="G97" i="54" s="1"/>
  <c r="K156" i="54"/>
  <c r="K115" i="54" s="1"/>
  <c r="K97" i="54" s="1"/>
  <c r="M156" i="54"/>
  <c r="M115" i="54" s="1"/>
  <c r="M97" i="54" s="1"/>
  <c r="G47" i="83"/>
  <c r="G44" i="83"/>
  <c r="G52" i="83"/>
  <c r="H19" i="23"/>
  <c r="G49" i="83"/>
  <c r="G46" i="83"/>
  <c r="G51" i="83"/>
  <c r="G48" i="83"/>
  <c r="K157" i="55"/>
  <c r="K116" i="55" s="1"/>
  <c r="K98" i="55" s="1"/>
  <c r="I156" i="54"/>
  <c r="I115" i="54" s="1"/>
  <c r="I97" i="54" s="1"/>
  <c r="G45" i="83"/>
  <c r="G53" i="83"/>
  <c r="D127" i="84"/>
  <c r="O127" i="84" s="1"/>
  <c r="E208" i="69"/>
  <c r="E217" i="69" s="1"/>
  <c r="L156" i="54"/>
  <c r="L115" i="54" s="1"/>
  <c r="L97" i="54" s="1"/>
  <c r="F156" i="54"/>
  <c r="F115" i="54" s="1"/>
  <c r="I92" i="84"/>
  <c r="J156" i="54"/>
  <c r="J115" i="54" s="1"/>
  <c r="N128" i="84"/>
  <c r="D117" i="84"/>
  <c r="O117" i="84" s="1"/>
  <c r="N47" i="84"/>
  <c r="L47" i="84"/>
  <c r="N26" i="23"/>
  <c r="D61" i="84"/>
  <c r="O61" i="84" s="1"/>
  <c r="N156" i="54"/>
  <c r="N115" i="54" s="1"/>
  <c r="N97" i="54" s="1"/>
  <c r="D104" i="84"/>
  <c r="O104" i="84" s="1"/>
  <c r="G62" i="84"/>
  <c r="I105" i="84"/>
  <c r="I157" i="55"/>
  <c r="I116" i="55" s="1"/>
  <c r="I98" i="55" s="1"/>
  <c r="N157" i="55"/>
  <c r="N116" i="55" s="1"/>
  <c r="N98" i="55" s="1"/>
  <c r="E157" i="54"/>
  <c r="E116" i="54" s="1"/>
  <c r="I98" i="54"/>
  <c r="L100" i="54"/>
  <c r="J105" i="84"/>
  <c r="J92" i="84"/>
  <c r="I78" i="84"/>
  <c r="K118" i="84"/>
  <c r="N99" i="54"/>
  <c r="N78" i="84"/>
  <c r="F145" i="21"/>
  <c r="F144" i="21"/>
  <c r="F26" i="23"/>
  <c r="F139" i="21"/>
  <c r="F138" i="21"/>
  <c r="H150" i="21"/>
  <c r="H149" i="21"/>
  <c r="H72" i="21"/>
  <c r="H51" i="21"/>
  <c r="H166" i="101" s="1"/>
  <c r="H167" i="101" s="1"/>
  <c r="M47" i="84"/>
  <c r="H156" i="21"/>
  <c r="H155" i="21"/>
  <c r="M26" i="23"/>
  <c r="L157" i="54"/>
  <c r="L116" i="54" s="1"/>
  <c r="J47" i="84"/>
  <c r="J62" i="84"/>
  <c r="G157" i="55"/>
  <c r="G116" i="55" s="1"/>
  <c r="G98" i="55" s="1"/>
  <c r="E156" i="54"/>
  <c r="E115" i="54" s="1"/>
  <c r="I118" i="84"/>
  <c r="M78" i="84"/>
  <c r="J118" i="84"/>
  <c r="G157" i="54"/>
  <c r="G116" i="54" s="1"/>
  <c r="K157" i="54"/>
  <c r="K116" i="54" s="1"/>
  <c r="I62" i="84"/>
  <c r="M99" i="54"/>
  <c r="M118" i="84"/>
  <c r="G25" i="64"/>
  <c r="I138" i="84"/>
  <c r="H97" i="54"/>
  <c r="N157" i="54"/>
  <c r="N116" i="54" s="1"/>
  <c r="M157" i="54"/>
  <c r="M116" i="54" s="1"/>
  <c r="H157" i="54"/>
  <c r="H116" i="54" s="1"/>
  <c r="F157" i="54"/>
  <c r="F116" i="54" s="1"/>
  <c r="M128" i="84"/>
  <c r="I47" i="84"/>
  <c r="J157" i="54"/>
  <c r="J116" i="54" s="1"/>
  <c r="G143" i="21"/>
  <c r="G73" i="21"/>
  <c r="K62" i="84"/>
  <c r="M105" i="84"/>
  <c r="M92" i="84"/>
  <c r="I128" i="84"/>
  <c r="H68" i="21"/>
  <c r="H47" i="21"/>
  <c r="H27" i="101" s="1"/>
  <c r="H28" i="101" s="1"/>
  <c r="G140" i="21"/>
  <c r="G71" i="21"/>
  <c r="N138" i="84"/>
  <c r="F157" i="55"/>
  <c r="F116" i="55" s="1"/>
  <c r="F98" i="55" s="1"/>
  <c r="H157" i="55"/>
  <c r="H116" i="55" s="1"/>
  <c r="H98" i="55" s="1"/>
  <c r="M138" i="84"/>
  <c r="F141" i="21"/>
  <c r="F142" i="21"/>
  <c r="M157" i="55"/>
  <c r="M116" i="55" s="1"/>
  <c r="H70" i="21"/>
  <c r="H49" i="21"/>
  <c r="H96" i="101" s="1"/>
  <c r="H97" i="101" s="1"/>
  <c r="F29" i="64"/>
  <c r="F35" i="64" s="1"/>
  <c r="J128" i="84"/>
  <c r="M62" i="84"/>
  <c r="G137" i="21"/>
  <c r="G69" i="21"/>
  <c r="J157" i="55"/>
  <c r="J116" i="55" s="1"/>
  <c r="K128" i="84"/>
  <c r="L157" i="55"/>
  <c r="L116" i="55" s="1"/>
  <c r="H60" i="83" l="1"/>
  <c r="L61" i="83"/>
  <c r="N115" i="84"/>
  <c r="M135" i="84"/>
  <c r="M73" i="84"/>
  <c r="M125" i="84"/>
  <c r="M89" i="84"/>
  <c r="N89" i="84"/>
  <c r="N57" i="84"/>
  <c r="M42" i="84"/>
  <c r="M102" i="84"/>
  <c r="N125" i="84"/>
  <c r="M57" i="84"/>
  <c r="M115" i="84"/>
  <c r="N135" i="84"/>
  <c r="I66" i="83"/>
  <c r="H66" i="83"/>
  <c r="N59" i="83"/>
  <c r="I63" i="83"/>
  <c r="I64" i="83"/>
  <c r="H57" i="83"/>
  <c r="L57" i="83"/>
  <c r="J62" i="83"/>
  <c r="K58" i="83"/>
  <c r="K63" i="83"/>
  <c r="K62" i="83"/>
  <c r="E62" i="83"/>
  <c r="K59" i="83"/>
  <c r="X17" i="23"/>
  <c r="X20" i="23"/>
  <c r="K20" i="23" s="1"/>
  <c r="T17" i="23"/>
  <c r="G17" i="23" s="1"/>
  <c r="T20" i="23"/>
  <c r="G20" i="23" s="1"/>
  <c r="K60" i="83"/>
  <c r="K64" i="83"/>
  <c r="G59" i="83"/>
  <c r="K65" i="83"/>
  <c r="G58" i="83"/>
  <c r="G63" i="83"/>
  <c r="G61" i="83"/>
  <c r="X18" i="23"/>
  <c r="K18" i="23" s="1"/>
  <c r="G57" i="83"/>
  <c r="N58" i="83"/>
  <c r="S17" i="23"/>
  <c r="F17" i="23" s="1"/>
  <c r="S20" i="23"/>
  <c r="F20" i="23" s="1"/>
  <c r="R17" i="23"/>
  <c r="E17" i="23" s="1"/>
  <c r="E12" i="72" s="1"/>
  <c r="E15" i="72" s="1"/>
  <c r="R20" i="23"/>
  <c r="E20" i="23" s="1"/>
  <c r="E51" i="72" s="1"/>
  <c r="E54" i="72" s="1"/>
  <c r="V17" i="23"/>
  <c r="I17" i="23" s="1"/>
  <c r="V20" i="23"/>
  <c r="I20" i="23" s="1"/>
  <c r="G60" i="83"/>
  <c r="K57" i="83"/>
  <c r="N60" i="83"/>
  <c r="J61" i="83"/>
  <c r="G64" i="83"/>
  <c r="U17" i="23"/>
  <c r="H17" i="23" s="1"/>
  <c r="U20" i="23"/>
  <c r="H20" i="23" s="1"/>
  <c r="Y17" i="23"/>
  <c r="L17" i="23" s="1"/>
  <c r="Y20" i="23"/>
  <c r="L20" i="23" s="1"/>
  <c r="W17" i="23"/>
  <c r="W20" i="23"/>
  <c r="J20" i="23" s="1"/>
  <c r="Z17" i="23"/>
  <c r="M17" i="23" s="1"/>
  <c r="Z20" i="23"/>
  <c r="M20" i="23" s="1"/>
  <c r="F66" i="83"/>
  <c r="G86" i="83"/>
  <c r="G76" i="83"/>
  <c r="G74" i="83"/>
  <c r="M54" i="81"/>
  <c r="M68" i="83" s="1"/>
  <c r="M73" i="83" s="1"/>
  <c r="F54" i="81"/>
  <c r="F68" i="83" s="1"/>
  <c r="F74" i="83" s="1"/>
  <c r="F58" i="83"/>
  <c r="G84" i="83"/>
  <c r="G71" i="83"/>
  <c r="D157" i="81"/>
  <c r="L54" i="81"/>
  <c r="L68" i="83" s="1"/>
  <c r="L74" i="83" s="1"/>
  <c r="F60" i="83"/>
  <c r="G89" i="83"/>
  <c r="G75" i="83"/>
  <c r="G73" i="83"/>
  <c r="K54" i="81"/>
  <c r="K68" i="83" s="1"/>
  <c r="E58" i="83"/>
  <c r="E65" i="83"/>
  <c r="J59" i="83"/>
  <c r="E61" i="83"/>
  <c r="M59" i="83"/>
  <c r="J57" i="83"/>
  <c r="F62" i="83"/>
  <c r="L59" i="83"/>
  <c r="F65" i="83"/>
  <c r="F63" i="83"/>
  <c r="G90" i="83"/>
  <c r="G85" i="83"/>
  <c r="G83" i="83"/>
  <c r="L65" i="83"/>
  <c r="G70" i="83"/>
  <c r="I54" i="81"/>
  <c r="I68" i="83" s="1"/>
  <c r="H54" i="81"/>
  <c r="H68" i="83" s="1"/>
  <c r="H73" i="83" s="1"/>
  <c r="J54" i="81"/>
  <c r="J68" i="83" s="1"/>
  <c r="M79" i="83"/>
  <c r="M84" i="83" s="1"/>
  <c r="H79" i="83"/>
  <c r="H88" i="83" s="1"/>
  <c r="E79" i="83"/>
  <c r="E88" i="83" s="1"/>
  <c r="F59" i="83"/>
  <c r="F57" i="83"/>
  <c r="G87" i="83"/>
  <c r="T11" i="23" s="1"/>
  <c r="G11" i="23" s="1"/>
  <c r="G81" i="55" s="1"/>
  <c r="G125" i="55" s="1"/>
  <c r="G107" i="55" s="1"/>
  <c r="G72" i="83"/>
  <c r="N54" i="81"/>
  <c r="N68" i="83" s="1"/>
  <c r="N73" i="83" s="1"/>
  <c r="E54" i="81"/>
  <c r="E68" i="83" s="1"/>
  <c r="E76" i="83" s="1"/>
  <c r="N79" i="83"/>
  <c r="I79" i="83"/>
  <c r="I84" i="83" s="1"/>
  <c r="J79" i="83"/>
  <c r="J90" i="83" s="1"/>
  <c r="K79" i="83"/>
  <c r="K89" i="83" s="1"/>
  <c r="F79" i="83"/>
  <c r="F87" i="83" s="1"/>
  <c r="N102" i="84"/>
  <c r="N73" i="84"/>
  <c r="N39" i="8"/>
  <c r="M39" i="8"/>
  <c r="M38" i="8"/>
  <c r="N38" i="8"/>
  <c r="M57" i="83"/>
  <c r="M63" i="83"/>
  <c r="M58" i="83"/>
  <c r="M64" i="83"/>
  <c r="J83" i="81"/>
  <c r="G83" i="81"/>
  <c r="H83" i="81"/>
  <c r="E66" i="83"/>
  <c r="E64" i="83"/>
  <c r="M61" i="83"/>
  <c r="J66" i="83"/>
  <c r="M66" i="83"/>
  <c r="J65" i="83"/>
  <c r="K83" i="81"/>
  <c r="F83" i="81"/>
  <c r="E83" i="81"/>
  <c r="E59" i="83"/>
  <c r="E63" i="83"/>
  <c r="M65" i="83"/>
  <c r="J60" i="83"/>
  <c r="J58" i="83"/>
  <c r="N83" i="81"/>
  <c r="D186" i="81"/>
  <c r="K186" i="81" s="1"/>
  <c r="L88" i="83"/>
  <c r="L90" i="83"/>
  <c r="L81" i="83"/>
  <c r="L84" i="83"/>
  <c r="L87" i="83"/>
  <c r="L83" i="83"/>
  <c r="L86" i="83"/>
  <c r="L89" i="83"/>
  <c r="L82" i="83"/>
  <c r="L85" i="83"/>
  <c r="E102" i="81"/>
  <c r="H102" i="81"/>
  <c r="G102" i="81"/>
  <c r="N102" i="81"/>
  <c r="L102" i="81"/>
  <c r="K102" i="81"/>
  <c r="M102" i="81"/>
  <c r="F102" i="81"/>
  <c r="J102" i="81"/>
  <c r="I102" i="81"/>
  <c r="D205" i="81"/>
  <c r="C102" i="81"/>
  <c r="H98" i="81"/>
  <c r="G98" i="81"/>
  <c r="F98" i="81"/>
  <c r="K98" i="81"/>
  <c r="M98" i="81"/>
  <c r="L98" i="81"/>
  <c r="E98" i="81"/>
  <c r="J98" i="81"/>
  <c r="I98" i="81"/>
  <c r="N98" i="81"/>
  <c r="D201" i="81"/>
  <c r="C98" i="81"/>
  <c r="G129" i="81"/>
  <c r="H129" i="81"/>
  <c r="E129" i="81"/>
  <c r="F129" i="81"/>
  <c r="J129" i="81"/>
  <c r="I129" i="81"/>
  <c r="C129" i="81"/>
  <c r="L129" i="81"/>
  <c r="K129" i="81"/>
  <c r="D232" i="81"/>
  <c r="N129" i="81"/>
  <c r="M129" i="81"/>
  <c r="H136" i="81"/>
  <c r="G136" i="81"/>
  <c r="F136" i="81"/>
  <c r="E136" i="81"/>
  <c r="K136" i="81"/>
  <c r="I136" i="81"/>
  <c r="M136" i="81"/>
  <c r="J136" i="81"/>
  <c r="L136" i="81"/>
  <c r="N136" i="81"/>
  <c r="C136" i="81"/>
  <c r="D239" i="81"/>
  <c r="G68" i="81"/>
  <c r="H68" i="81"/>
  <c r="E68" i="81"/>
  <c r="F68" i="81"/>
  <c r="M68" i="81"/>
  <c r="J68" i="81"/>
  <c r="K68" i="81"/>
  <c r="L68" i="81"/>
  <c r="I68" i="81"/>
  <c r="N68" i="81"/>
  <c r="C68" i="81"/>
  <c r="D171" i="81"/>
  <c r="H128" i="81"/>
  <c r="G128" i="81"/>
  <c r="F128" i="81"/>
  <c r="E128" i="81"/>
  <c r="K128" i="81"/>
  <c r="J128" i="81"/>
  <c r="I128" i="81"/>
  <c r="M128" i="81"/>
  <c r="L128" i="81"/>
  <c r="N128" i="81"/>
  <c r="C128" i="81"/>
  <c r="D231" i="81"/>
  <c r="H124" i="81"/>
  <c r="F124" i="81"/>
  <c r="E124" i="81"/>
  <c r="G124" i="81"/>
  <c r="L124" i="81"/>
  <c r="M124" i="81"/>
  <c r="I124" i="81"/>
  <c r="J124" i="81"/>
  <c r="K124" i="81"/>
  <c r="N124" i="81"/>
  <c r="C124" i="81"/>
  <c r="D227" i="81"/>
  <c r="F120" i="81"/>
  <c r="L120" i="81"/>
  <c r="K120" i="81"/>
  <c r="J120" i="81"/>
  <c r="I120" i="81"/>
  <c r="H120" i="81"/>
  <c r="E120" i="81"/>
  <c r="G120" i="81"/>
  <c r="C120" i="81"/>
  <c r="N120" i="81"/>
  <c r="D223" i="81"/>
  <c r="M120" i="81"/>
  <c r="F134" i="81"/>
  <c r="G134" i="81"/>
  <c r="E134" i="81"/>
  <c r="H134" i="81"/>
  <c r="M134" i="81"/>
  <c r="L134" i="81"/>
  <c r="J134" i="81"/>
  <c r="K134" i="81"/>
  <c r="N134" i="81"/>
  <c r="I134" i="81"/>
  <c r="C134" i="81"/>
  <c r="D237" i="81"/>
  <c r="C66" i="81"/>
  <c r="H66" i="81"/>
  <c r="K66" i="81"/>
  <c r="E66" i="81"/>
  <c r="N66" i="81"/>
  <c r="I66" i="81"/>
  <c r="D169" i="81"/>
  <c r="J66" i="81"/>
  <c r="G66" i="81"/>
  <c r="L66" i="81"/>
  <c r="F66" i="81"/>
  <c r="M66" i="81"/>
  <c r="G78" i="81"/>
  <c r="H78" i="81"/>
  <c r="E78" i="81"/>
  <c r="F78" i="81"/>
  <c r="K78" i="81"/>
  <c r="J78" i="81"/>
  <c r="N78" i="81"/>
  <c r="L78" i="81"/>
  <c r="M78" i="81"/>
  <c r="I78" i="81"/>
  <c r="C78" i="81"/>
  <c r="D181" i="81"/>
  <c r="H122" i="81"/>
  <c r="E122" i="81"/>
  <c r="F122" i="81"/>
  <c r="G122" i="81"/>
  <c r="J122" i="81"/>
  <c r="K122" i="81"/>
  <c r="M122" i="81"/>
  <c r="L122" i="81"/>
  <c r="I122" i="81"/>
  <c r="N122" i="81"/>
  <c r="C122" i="81"/>
  <c r="D225" i="81"/>
  <c r="J93" i="81"/>
  <c r="H93" i="81"/>
  <c r="L93" i="81"/>
  <c r="M93" i="81"/>
  <c r="N93" i="81"/>
  <c r="I93" i="81"/>
  <c r="G93" i="81"/>
  <c r="F93" i="81"/>
  <c r="K93" i="81"/>
  <c r="D196" i="81"/>
  <c r="E93" i="81"/>
  <c r="C93" i="81"/>
  <c r="E116" i="81"/>
  <c r="F116" i="81"/>
  <c r="H116" i="81"/>
  <c r="G116" i="81"/>
  <c r="K116" i="81"/>
  <c r="J116" i="81"/>
  <c r="M116" i="81"/>
  <c r="L116" i="81"/>
  <c r="N116" i="81"/>
  <c r="I116" i="81"/>
  <c r="D219" i="81"/>
  <c r="C116" i="81"/>
  <c r="H139" i="81"/>
  <c r="G139" i="81"/>
  <c r="E139" i="81"/>
  <c r="I139" i="81"/>
  <c r="K139" i="81"/>
  <c r="J139" i="81"/>
  <c r="F139" i="81"/>
  <c r="M139" i="81"/>
  <c r="L139" i="81"/>
  <c r="N139" i="81"/>
  <c r="C139" i="81"/>
  <c r="D242" i="81"/>
  <c r="H135" i="81"/>
  <c r="F135" i="81"/>
  <c r="G135" i="81"/>
  <c r="J135" i="81"/>
  <c r="L135" i="81"/>
  <c r="E135" i="81"/>
  <c r="M135" i="81"/>
  <c r="K135" i="81"/>
  <c r="N135" i="81"/>
  <c r="I135" i="81"/>
  <c r="C135" i="81"/>
  <c r="D238" i="81"/>
  <c r="M197" i="81"/>
  <c r="H197" i="81"/>
  <c r="G197" i="81"/>
  <c r="C197" i="81"/>
  <c r="I197" i="81"/>
  <c r="N197" i="81"/>
  <c r="J197" i="81"/>
  <c r="E197" i="81"/>
  <c r="F197" i="81"/>
  <c r="L197" i="81"/>
  <c r="K197" i="81"/>
  <c r="M186" i="81"/>
  <c r="H186" i="81"/>
  <c r="J186" i="81"/>
  <c r="G186" i="81"/>
  <c r="F186" i="81"/>
  <c r="I186" i="81"/>
  <c r="F189" i="81"/>
  <c r="J189" i="81"/>
  <c r="L189" i="81"/>
  <c r="C189" i="81"/>
  <c r="K189" i="81"/>
  <c r="E189" i="81"/>
  <c r="G189" i="81"/>
  <c r="H189" i="81"/>
  <c r="N189" i="81"/>
  <c r="M189" i="81"/>
  <c r="I189" i="81"/>
  <c r="G74" i="81"/>
  <c r="F74" i="81"/>
  <c r="M74" i="81"/>
  <c r="N74" i="81"/>
  <c r="I74" i="81"/>
  <c r="K74" i="81"/>
  <c r="J74" i="81"/>
  <c r="C74" i="81"/>
  <c r="D177" i="81"/>
  <c r="L74" i="81"/>
  <c r="E74" i="81"/>
  <c r="H74" i="81"/>
  <c r="C65" i="81"/>
  <c r="J65" i="81"/>
  <c r="E65" i="81"/>
  <c r="L65" i="81"/>
  <c r="F65" i="81"/>
  <c r="K65" i="81"/>
  <c r="H65" i="81"/>
  <c r="G65" i="81"/>
  <c r="D168" i="81"/>
  <c r="N65" i="81"/>
  <c r="M65" i="81"/>
  <c r="I65" i="81"/>
  <c r="H87" i="81"/>
  <c r="F87" i="81"/>
  <c r="G87" i="81"/>
  <c r="E87" i="81"/>
  <c r="J87" i="81"/>
  <c r="L87" i="81"/>
  <c r="K87" i="81"/>
  <c r="M87" i="81"/>
  <c r="N87" i="81"/>
  <c r="I87" i="81"/>
  <c r="C87" i="81"/>
  <c r="D190" i="81"/>
  <c r="E95" i="81"/>
  <c r="F95" i="81"/>
  <c r="H95" i="81"/>
  <c r="L95" i="81"/>
  <c r="J95" i="81"/>
  <c r="G95" i="81"/>
  <c r="M95" i="81"/>
  <c r="K95" i="81"/>
  <c r="I95" i="81"/>
  <c r="N95" i="81"/>
  <c r="D198" i="81"/>
  <c r="C95" i="81"/>
  <c r="H77" i="81"/>
  <c r="G77" i="81"/>
  <c r="F77" i="81"/>
  <c r="E77" i="81"/>
  <c r="J77" i="81"/>
  <c r="K77" i="81"/>
  <c r="M77" i="81"/>
  <c r="L77" i="81"/>
  <c r="N77" i="81"/>
  <c r="I77" i="81"/>
  <c r="C77" i="81"/>
  <c r="D180" i="81"/>
  <c r="H73" i="81"/>
  <c r="N73" i="81"/>
  <c r="J73" i="81"/>
  <c r="L73" i="81"/>
  <c r="I73" i="81"/>
  <c r="C73" i="81"/>
  <c r="K73" i="81"/>
  <c r="G73" i="81"/>
  <c r="D176" i="81"/>
  <c r="M73" i="81"/>
  <c r="F73" i="81"/>
  <c r="E73" i="81"/>
  <c r="J96" i="81"/>
  <c r="H96" i="81"/>
  <c r="G96" i="81"/>
  <c r="F96" i="81"/>
  <c r="L96" i="81"/>
  <c r="D199" i="81"/>
  <c r="N96" i="81"/>
  <c r="I96" i="81"/>
  <c r="K96" i="81"/>
  <c r="M96" i="81"/>
  <c r="E96" i="81"/>
  <c r="C96" i="81"/>
  <c r="G119" i="81"/>
  <c r="F119" i="81"/>
  <c r="H119" i="81"/>
  <c r="E119" i="81"/>
  <c r="K119" i="81"/>
  <c r="J119" i="81"/>
  <c r="M119" i="81"/>
  <c r="L119" i="81"/>
  <c r="I119" i="81"/>
  <c r="N119" i="81"/>
  <c r="D222" i="81"/>
  <c r="C119" i="81"/>
  <c r="G115" i="81"/>
  <c r="H115" i="81"/>
  <c r="F115" i="81"/>
  <c r="M115" i="81"/>
  <c r="K115" i="81"/>
  <c r="E115" i="81"/>
  <c r="N115" i="81"/>
  <c r="J115" i="81"/>
  <c r="L115" i="81"/>
  <c r="I115" i="81"/>
  <c r="D218" i="81"/>
  <c r="C115" i="81"/>
  <c r="H84" i="81"/>
  <c r="G84" i="81"/>
  <c r="F84" i="81"/>
  <c r="E84" i="81"/>
  <c r="J84" i="81"/>
  <c r="K84" i="81"/>
  <c r="L84" i="81"/>
  <c r="M84" i="81"/>
  <c r="N84" i="81"/>
  <c r="I84" i="81"/>
  <c r="D187" i="81"/>
  <c r="C84" i="81"/>
  <c r="H80" i="81"/>
  <c r="E80" i="81"/>
  <c r="F80" i="81"/>
  <c r="G80" i="81"/>
  <c r="M80" i="81"/>
  <c r="L80" i="81"/>
  <c r="K80" i="81"/>
  <c r="J80" i="81"/>
  <c r="I80" i="81"/>
  <c r="N80" i="81"/>
  <c r="D183" i="81"/>
  <c r="C80" i="81"/>
  <c r="H103" i="81"/>
  <c r="E103" i="81"/>
  <c r="L103" i="81"/>
  <c r="N103" i="81"/>
  <c r="J103" i="81"/>
  <c r="M103" i="81"/>
  <c r="I103" i="81"/>
  <c r="C103" i="81"/>
  <c r="F103" i="81"/>
  <c r="K103" i="81"/>
  <c r="D206" i="81"/>
  <c r="G103" i="81"/>
  <c r="C157" i="81"/>
  <c r="H157" i="81"/>
  <c r="H69" i="83" s="1"/>
  <c r="I157" i="81"/>
  <c r="I69" i="83" s="1"/>
  <c r="E157" i="81"/>
  <c r="E69" i="83" s="1"/>
  <c r="M157" i="81"/>
  <c r="M69" i="83" s="1"/>
  <c r="N157" i="81"/>
  <c r="N69" i="83" s="1"/>
  <c r="K157" i="81"/>
  <c r="K69" i="83" s="1"/>
  <c r="J157" i="81"/>
  <c r="J69" i="83" s="1"/>
  <c r="L157" i="81"/>
  <c r="L69" i="83" s="1"/>
  <c r="G157" i="81"/>
  <c r="G69" i="83" s="1"/>
  <c r="F157" i="81"/>
  <c r="F69" i="83" s="1"/>
  <c r="F70" i="83" s="1"/>
  <c r="E109" i="81"/>
  <c r="F109" i="81"/>
  <c r="H109" i="81"/>
  <c r="M109" i="81"/>
  <c r="G109" i="81"/>
  <c r="J109" i="81"/>
  <c r="L109" i="81"/>
  <c r="K109" i="81"/>
  <c r="I109" i="81"/>
  <c r="N109" i="81"/>
  <c r="D212" i="81"/>
  <c r="C109" i="81"/>
  <c r="H132" i="81"/>
  <c r="G132" i="81"/>
  <c r="E132" i="81"/>
  <c r="L132" i="81"/>
  <c r="J132" i="81"/>
  <c r="M132" i="81"/>
  <c r="F132" i="81"/>
  <c r="K132" i="81"/>
  <c r="I132" i="81"/>
  <c r="N132" i="81"/>
  <c r="D235" i="81"/>
  <c r="C132" i="81"/>
  <c r="F101" i="81"/>
  <c r="H101" i="81"/>
  <c r="G101" i="81"/>
  <c r="K101" i="81"/>
  <c r="M101" i="81"/>
  <c r="E101" i="81"/>
  <c r="L101" i="81"/>
  <c r="J101" i="81"/>
  <c r="I101" i="81"/>
  <c r="N101" i="81"/>
  <c r="C101" i="81"/>
  <c r="D204" i="81"/>
  <c r="G113" i="81"/>
  <c r="E113" i="81"/>
  <c r="F113" i="81"/>
  <c r="M113" i="81"/>
  <c r="L113" i="81"/>
  <c r="K113" i="81"/>
  <c r="J113" i="81"/>
  <c r="N113" i="81"/>
  <c r="I113" i="81"/>
  <c r="C113" i="81"/>
  <c r="D216" i="81"/>
  <c r="H113" i="81"/>
  <c r="C156" i="81"/>
  <c r="K156" i="81"/>
  <c r="K56" i="83" s="1"/>
  <c r="K66" i="83" s="1"/>
  <c r="G156" i="81"/>
  <c r="G56" i="83" s="1"/>
  <c r="G66" i="83" s="1"/>
  <c r="N156" i="81"/>
  <c r="N56" i="83" s="1"/>
  <c r="N63" i="83" s="1"/>
  <c r="M156" i="81"/>
  <c r="M56" i="83" s="1"/>
  <c r="M62" i="83" s="1"/>
  <c r="L156" i="81"/>
  <c r="L56" i="83" s="1"/>
  <c r="L58" i="83" s="1"/>
  <c r="J156" i="81"/>
  <c r="J56" i="83" s="1"/>
  <c r="J63" i="83" s="1"/>
  <c r="I156" i="81"/>
  <c r="I56" i="83" s="1"/>
  <c r="I60" i="83" s="1"/>
  <c r="H156" i="81"/>
  <c r="H56" i="83" s="1"/>
  <c r="H64" i="83" s="1"/>
  <c r="F156" i="81"/>
  <c r="F56" i="83" s="1"/>
  <c r="F61" i="83" s="1"/>
  <c r="E156" i="81"/>
  <c r="E56" i="83" s="1"/>
  <c r="E60" i="83" s="1"/>
  <c r="J76" i="81"/>
  <c r="E76" i="81"/>
  <c r="G76" i="81"/>
  <c r="K76" i="81"/>
  <c r="N76" i="81"/>
  <c r="H76" i="81"/>
  <c r="D179" i="81"/>
  <c r="L76" i="81"/>
  <c r="M76" i="81"/>
  <c r="F76" i="81"/>
  <c r="I76" i="81"/>
  <c r="C76" i="81"/>
  <c r="F99" i="81"/>
  <c r="E99" i="81"/>
  <c r="H99" i="81"/>
  <c r="G99" i="81"/>
  <c r="N99" i="81"/>
  <c r="J99" i="81"/>
  <c r="M99" i="81"/>
  <c r="K99" i="81"/>
  <c r="L99" i="81"/>
  <c r="I99" i="81"/>
  <c r="C99" i="81"/>
  <c r="D202" i="81"/>
  <c r="H130" i="81"/>
  <c r="G130" i="81"/>
  <c r="E130" i="81"/>
  <c r="F130" i="81"/>
  <c r="J130" i="81"/>
  <c r="K130" i="81"/>
  <c r="L130" i="81"/>
  <c r="M130" i="81"/>
  <c r="I130" i="81"/>
  <c r="N130" i="81"/>
  <c r="D233" i="81"/>
  <c r="C130" i="81"/>
  <c r="H91" i="81"/>
  <c r="E91" i="81"/>
  <c r="G91" i="81"/>
  <c r="K91" i="81"/>
  <c r="J91" i="81"/>
  <c r="F91" i="81"/>
  <c r="L91" i="81"/>
  <c r="M91" i="81"/>
  <c r="I91" i="81"/>
  <c r="N91" i="81"/>
  <c r="C91" i="81"/>
  <c r="D194" i="81"/>
  <c r="C158" i="81"/>
  <c r="J158" i="81"/>
  <c r="J80" i="83" s="1"/>
  <c r="I158" i="81"/>
  <c r="I80" i="83" s="1"/>
  <c r="G158" i="81"/>
  <c r="G80" i="83" s="1"/>
  <c r="G88" i="83" s="1"/>
  <c r="F158" i="81"/>
  <c r="F80" i="83" s="1"/>
  <c r="E158" i="81"/>
  <c r="E80" i="83" s="1"/>
  <c r="K158" i="81"/>
  <c r="K80" i="83" s="1"/>
  <c r="L158" i="81"/>
  <c r="L80" i="83" s="1"/>
  <c r="N158" i="81"/>
  <c r="N80" i="83" s="1"/>
  <c r="M158" i="81"/>
  <c r="M80" i="83" s="1"/>
  <c r="H158" i="81"/>
  <c r="H80" i="83" s="1"/>
  <c r="C62" i="81"/>
  <c r="I62" i="81"/>
  <c r="D165" i="81"/>
  <c r="J62" i="81"/>
  <c r="G62" i="81"/>
  <c r="F62" i="81"/>
  <c r="M62" i="81"/>
  <c r="L62" i="81"/>
  <c r="H62" i="81"/>
  <c r="K62" i="81"/>
  <c r="E62" i="81"/>
  <c r="N62" i="81"/>
  <c r="H89" i="81"/>
  <c r="E89" i="81"/>
  <c r="G89" i="81"/>
  <c r="F89" i="81"/>
  <c r="K89" i="81"/>
  <c r="L89" i="81"/>
  <c r="M89" i="81"/>
  <c r="N89" i="81"/>
  <c r="J89" i="81"/>
  <c r="I89" i="81"/>
  <c r="C89" i="81"/>
  <c r="D192" i="81"/>
  <c r="G100" i="81"/>
  <c r="H100" i="81"/>
  <c r="F100" i="81"/>
  <c r="M100" i="81"/>
  <c r="I100" i="81"/>
  <c r="N100" i="81"/>
  <c r="K100" i="81"/>
  <c r="E100" i="81"/>
  <c r="L100" i="81"/>
  <c r="C100" i="81"/>
  <c r="J100" i="81"/>
  <c r="D203" i="81"/>
  <c r="C64" i="81"/>
  <c r="J64" i="81"/>
  <c r="I64" i="81"/>
  <c r="K64" i="81"/>
  <c r="F64" i="81"/>
  <c r="H64" i="81"/>
  <c r="L64" i="81"/>
  <c r="M64" i="81"/>
  <c r="E64" i="81"/>
  <c r="N64" i="81"/>
  <c r="D167" i="81"/>
  <c r="G64" i="81"/>
  <c r="C60" i="81"/>
  <c r="J60" i="81"/>
  <c r="H60" i="81"/>
  <c r="F60" i="81"/>
  <c r="M60" i="81"/>
  <c r="D163" i="81"/>
  <c r="E60" i="81"/>
  <c r="K60" i="81"/>
  <c r="N60" i="81"/>
  <c r="I60" i="81"/>
  <c r="L60" i="81"/>
  <c r="G60" i="81"/>
  <c r="C56" i="81"/>
  <c r="N56" i="81"/>
  <c r="N92" i="83" s="1"/>
  <c r="F56" i="81"/>
  <c r="F92" i="83" s="1"/>
  <c r="D159" i="81"/>
  <c r="I56" i="81"/>
  <c r="I92" i="83" s="1"/>
  <c r="K56" i="81"/>
  <c r="K92" i="83" s="1"/>
  <c r="M56" i="81"/>
  <c r="M92" i="83" s="1"/>
  <c r="J56" i="81"/>
  <c r="J92" i="83" s="1"/>
  <c r="G56" i="81"/>
  <c r="G92" i="83" s="1"/>
  <c r="E56" i="81"/>
  <c r="E92" i="83" s="1"/>
  <c r="H56" i="81"/>
  <c r="H92" i="83" s="1"/>
  <c r="L56" i="81"/>
  <c r="L92" i="83" s="1"/>
  <c r="F79" i="81"/>
  <c r="H79" i="81"/>
  <c r="G79" i="81"/>
  <c r="M79" i="81"/>
  <c r="E79" i="81"/>
  <c r="L79" i="81"/>
  <c r="K79" i="81"/>
  <c r="J79" i="81"/>
  <c r="I79" i="81"/>
  <c r="N79" i="81"/>
  <c r="C79" i="81"/>
  <c r="D182" i="81"/>
  <c r="E126" i="81"/>
  <c r="H126" i="81"/>
  <c r="G126" i="81"/>
  <c r="F126" i="81"/>
  <c r="M126" i="81"/>
  <c r="N126" i="81"/>
  <c r="J126" i="81"/>
  <c r="L126" i="81"/>
  <c r="K126" i="81"/>
  <c r="I126" i="81"/>
  <c r="C126" i="81"/>
  <c r="D229" i="81"/>
  <c r="E106" i="81"/>
  <c r="G106" i="81"/>
  <c r="F106" i="81"/>
  <c r="H106" i="81"/>
  <c r="J106" i="81"/>
  <c r="K106" i="81"/>
  <c r="M106" i="81"/>
  <c r="L106" i="81"/>
  <c r="N106" i="81"/>
  <c r="I106" i="81"/>
  <c r="C106" i="81"/>
  <c r="D209" i="81"/>
  <c r="C67" i="81"/>
  <c r="N67" i="81"/>
  <c r="M67" i="81"/>
  <c r="D170" i="81"/>
  <c r="J67" i="81"/>
  <c r="E67" i="81"/>
  <c r="L67" i="81"/>
  <c r="F67" i="81"/>
  <c r="K67" i="81"/>
  <c r="H67" i="81"/>
  <c r="G67" i="81"/>
  <c r="I67" i="81"/>
  <c r="C63" i="81"/>
  <c r="L63" i="81"/>
  <c r="K63" i="81"/>
  <c r="H63" i="81"/>
  <c r="G63" i="81"/>
  <c r="I63" i="81"/>
  <c r="N63" i="81"/>
  <c r="M63" i="81"/>
  <c r="D166" i="81"/>
  <c r="J63" i="81"/>
  <c r="E63" i="81"/>
  <c r="F63" i="81"/>
  <c r="H110" i="81"/>
  <c r="F110" i="81"/>
  <c r="J110" i="81"/>
  <c r="L110" i="81"/>
  <c r="I110" i="81"/>
  <c r="D213" i="81"/>
  <c r="N110" i="81"/>
  <c r="M110" i="81"/>
  <c r="K110" i="81"/>
  <c r="E110" i="81"/>
  <c r="G110" i="81"/>
  <c r="C110" i="81"/>
  <c r="G92" i="81"/>
  <c r="F92" i="81"/>
  <c r="H92" i="81"/>
  <c r="E92" i="81"/>
  <c r="J92" i="81"/>
  <c r="K92" i="81"/>
  <c r="L92" i="81"/>
  <c r="M92" i="81"/>
  <c r="I92" i="81"/>
  <c r="N92" i="81"/>
  <c r="C92" i="81"/>
  <c r="D195" i="81"/>
  <c r="E88" i="81"/>
  <c r="F88" i="81"/>
  <c r="H88" i="81"/>
  <c r="G88" i="81"/>
  <c r="J88" i="81"/>
  <c r="M88" i="81"/>
  <c r="K88" i="81"/>
  <c r="L88" i="81"/>
  <c r="I88" i="81"/>
  <c r="N88" i="81"/>
  <c r="C88" i="81"/>
  <c r="D191" i="81"/>
  <c r="C57" i="81"/>
  <c r="L57" i="81"/>
  <c r="L105" i="83" s="1"/>
  <c r="G57" i="81"/>
  <c r="G105" i="83" s="1"/>
  <c r="I57" i="81"/>
  <c r="I105" i="83" s="1"/>
  <c r="M57" i="81"/>
  <c r="M105" i="83" s="1"/>
  <c r="J57" i="81"/>
  <c r="J105" i="83" s="1"/>
  <c r="K57" i="81"/>
  <c r="K105" i="83" s="1"/>
  <c r="F57" i="81"/>
  <c r="F105" i="83" s="1"/>
  <c r="D160" i="81"/>
  <c r="H57" i="81"/>
  <c r="H105" i="83" s="1"/>
  <c r="N57" i="81"/>
  <c r="N105" i="83" s="1"/>
  <c r="E57" i="81"/>
  <c r="E105" i="83" s="1"/>
  <c r="H127" i="81"/>
  <c r="G127" i="81"/>
  <c r="F127" i="81"/>
  <c r="L127" i="81"/>
  <c r="N127" i="81"/>
  <c r="I127" i="81"/>
  <c r="J127" i="81"/>
  <c r="C127" i="81"/>
  <c r="K127" i="81"/>
  <c r="D230" i="81"/>
  <c r="M127" i="81"/>
  <c r="E127" i="81"/>
  <c r="C59" i="81"/>
  <c r="H59" i="81"/>
  <c r="J59" i="81"/>
  <c r="K59" i="81"/>
  <c r="M59" i="81"/>
  <c r="D162" i="81"/>
  <c r="I59" i="81"/>
  <c r="L59" i="81"/>
  <c r="F59" i="81"/>
  <c r="G59" i="81"/>
  <c r="N59" i="81"/>
  <c r="E59" i="81"/>
  <c r="H90" i="81"/>
  <c r="G90" i="81"/>
  <c r="E90" i="81"/>
  <c r="F90" i="81"/>
  <c r="K90" i="81"/>
  <c r="M90" i="81"/>
  <c r="L90" i="81"/>
  <c r="J90" i="81"/>
  <c r="I90" i="81"/>
  <c r="N90" i="81"/>
  <c r="C90" i="81"/>
  <c r="D193" i="81"/>
  <c r="G105" i="81"/>
  <c r="F105" i="81"/>
  <c r="H105" i="81"/>
  <c r="K105" i="81"/>
  <c r="L105" i="81"/>
  <c r="M105" i="81"/>
  <c r="I105" i="81"/>
  <c r="E105" i="81"/>
  <c r="N105" i="81"/>
  <c r="J105" i="81"/>
  <c r="C105" i="81"/>
  <c r="D208" i="81"/>
  <c r="H82" i="81"/>
  <c r="E82" i="81"/>
  <c r="G82" i="81"/>
  <c r="F82" i="81"/>
  <c r="K82" i="81"/>
  <c r="J82" i="81"/>
  <c r="M82" i="81"/>
  <c r="L82" i="81"/>
  <c r="I82" i="81"/>
  <c r="N82" i="81"/>
  <c r="C82" i="81"/>
  <c r="D185" i="81"/>
  <c r="E125" i="81"/>
  <c r="F125" i="81"/>
  <c r="H125" i="81"/>
  <c r="G125" i="81"/>
  <c r="J125" i="81"/>
  <c r="L125" i="81"/>
  <c r="K125" i="81"/>
  <c r="M125" i="81"/>
  <c r="I125" i="81"/>
  <c r="N125" i="81"/>
  <c r="D228" i="81"/>
  <c r="C125" i="81"/>
  <c r="H104" i="81"/>
  <c r="G104" i="81"/>
  <c r="F104" i="81"/>
  <c r="J104" i="81"/>
  <c r="M104" i="81"/>
  <c r="K104" i="81"/>
  <c r="L104" i="81"/>
  <c r="E104" i="81"/>
  <c r="I104" i="81"/>
  <c r="N104" i="81"/>
  <c r="C104" i="81"/>
  <c r="D207" i="81"/>
  <c r="F112" i="81"/>
  <c r="H112" i="81"/>
  <c r="E112" i="81"/>
  <c r="M112" i="81"/>
  <c r="G112" i="81"/>
  <c r="J112" i="81"/>
  <c r="I112" i="81"/>
  <c r="K112" i="81"/>
  <c r="L112" i="81"/>
  <c r="N112" i="81"/>
  <c r="D215" i="81"/>
  <c r="C112" i="81"/>
  <c r="L123" i="81"/>
  <c r="G123" i="81"/>
  <c r="F123" i="81"/>
  <c r="E123" i="81"/>
  <c r="M123" i="81"/>
  <c r="I123" i="81"/>
  <c r="J123" i="81"/>
  <c r="K123" i="81"/>
  <c r="C123" i="81"/>
  <c r="H123" i="81"/>
  <c r="N123" i="81"/>
  <c r="D226" i="81"/>
  <c r="G111" i="81"/>
  <c r="H111" i="81"/>
  <c r="E111" i="81"/>
  <c r="F111" i="81"/>
  <c r="M111" i="81"/>
  <c r="K111" i="81"/>
  <c r="J111" i="81"/>
  <c r="L111" i="81"/>
  <c r="I111" i="81"/>
  <c r="N111" i="81"/>
  <c r="C111" i="81"/>
  <c r="D214" i="81"/>
  <c r="G107" i="81"/>
  <c r="E107" i="81"/>
  <c r="H107" i="81"/>
  <c r="F107" i="81"/>
  <c r="M107" i="81"/>
  <c r="K107" i="81"/>
  <c r="J107" i="81"/>
  <c r="L107" i="81"/>
  <c r="N107" i="81"/>
  <c r="I107" i="81"/>
  <c r="C107" i="81"/>
  <c r="D210" i="81"/>
  <c r="G138" i="81"/>
  <c r="H138" i="81"/>
  <c r="M138" i="81"/>
  <c r="J138" i="81"/>
  <c r="K138" i="81"/>
  <c r="L138" i="81"/>
  <c r="D241" i="81"/>
  <c r="F138" i="81"/>
  <c r="I138" i="81"/>
  <c r="N138" i="81"/>
  <c r="E138" i="81"/>
  <c r="C138" i="81"/>
  <c r="G70" i="81"/>
  <c r="H70" i="81"/>
  <c r="E70" i="81"/>
  <c r="F70" i="81"/>
  <c r="J70" i="81"/>
  <c r="N70" i="81"/>
  <c r="L70" i="81"/>
  <c r="K70" i="81"/>
  <c r="M70" i="81"/>
  <c r="I70" i="81"/>
  <c r="D173" i="81"/>
  <c r="C70" i="81"/>
  <c r="E85" i="81"/>
  <c r="G85" i="81"/>
  <c r="H85" i="81"/>
  <c r="M85" i="81"/>
  <c r="F85" i="81"/>
  <c r="J85" i="81"/>
  <c r="L85" i="81"/>
  <c r="K85" i="81"/>
  <c r="I85" i="81"/>
  <c r="N85" i="81"/>
  <c r="C85" i="81"/>
  <c r="D188" i="81"/>
  <c r="E97" i="81"/>
  <c r="F97" i="81"/>
  <c r="H97" i="81"/>
  <c r="G97" i="81"/>
  <c r="K97" i="81"/>
  <c r="J97" i="81"/>
  <c r="I97" i="81"/>
  <c r="M97" i="81"/>
  <c r="L97" i="81"/>
  <c r="N97" i="81"/>
  <c r="C97" i="81"/>
  <c r="D200" i="81"/>
  <c r="C58" i="81"/>
  <c r="M58" i="81"/>
  <c r="M118" i="83" s="1"/>
  <c r="E58" i="81"/>
  <c r="E118" i="83" s="1"/>
  <c r="D161" i="81"/>
  <c r="N58" i="81"/>
  <c r="N118" i="83" s="1"/>
  <c r="L58" i="81"/>
  <c r="L118" i="83" s="1"/>
  <c r="G58" i="81"/>
  <c r="G118" i="83" s="1"/>
  <c r="K58" i="81"/>
  <c r="K118" i="83" s="1"/>
  <c r="I58" i="81"/>
  <c r="I118" i="83" s="1"/>
  <c r="H58" i="81"/>
  <c r="H118" i="83" s="1"/>
  <c r="J58" i="81"/>
  <c r="J118" i="83" s="1"/>
  <c r="F58" i="81"/>
  <c r="F118" i="83" s="1"/>
  <c r="E137" i="81"/>
  <c r="H137" i="81"/>
  <c r="N137" i="81"/>
  <c r="L137" i="81"/>
  <c r="J137" i="81"/>
  <c r="I137" i="81"/>
  <c r="F137" i="81"/>
  <c r="G137" i="81"/>
  <c r="C137" i="81"/>
  <c r="K137" i="81"/>
  <c r="M137" i="81"/>
  <c r="D240" i="81"/>
  <c r="H69" i="81"/>
  <c r="G69" i="81"/>
  <c r="L69" i="81"/>
  <c r="J69" i="81"/>
  <c r="N69" i="81"/>
  <c r="E69" i="81"/>
  <c r="C69" i="81"/>
  <c r="D172" i="81"/>
  <c r="M69" i="81"/>
  <c r="I69" i="81"/>
  <c r="F69" i="81"/>
  <c r="K69" i="81"/>
  <c r="F75" i="81"/>
  <c r="G75" i="81"/>
  <c r="H75" i="81"/>
  <c r="M75" i="81"/>
  <c r="L75" i="81"/>
  <c r="E75" i="81"/>
  <c r="K75" i="81"/>
  <c r="J75" i="81"/>
  <c r="I75" i="81"/>
  <c r="N75" i="81"/>
  <c r="D178" i="81"/>
  <c r="C75" i="81"/>
  <c r="H71" i="81"/>
  <c r="G71" i="81"/>
  <c r="K71" i="81"/>
  <c r="L71" i="81"/>
  <c r="J71" i="81"/>
  <c r="M71" i="81"/>
  <c r="F71" i="81"/>
  <c r="E71" i="81"/>
  <c r="N71" i="81"/>
  <c r="I71" i="81"/>
  <c r="D174" i="81"/>
  <c r="C71" i="81"/>
  <c r="G131" i="81"/>
  <c r="E131" i="81"/>
  <c r="H131" i="81"/>
  <c r="F131" i="81"/>
  <c r="N131" i="81"/>
  <c r="L131" i="81"/>
  <c r="I131" i="81"/>
  <c r="M131" i="81"/>
  <c r="K131" i="81"/>
  <c r="J131" i="81"/>
  <c r="C131" i="81"/>
  <c r="D234" i="81"/>
  <c r="E118" i="81"/>
  <c r="H118" i="81"/>
  <c r="J118" i="81"/>
  <c r="L118" i="81"/>
  <c r="I118" i="81"/>
  <c r="M118" i="81"/>
  <c r="N118" i="81"/>
  <c r="C118" i="81"/>
  <c r="F118" i="81"/>
  <c r="D221" i="81"/>
  <c r="K118" i="81"/>
  <c r="G118" i="81"/>
  <c r="G133" i="81"/>
  <c r="M133" i="81"/>
  <c r="K133" i="81"/>
  <c r="F133" i="81"/>
  <c r="E133" i="81"/>
  <c r="D236" i="81"/>
  <c r="L133" i="81"/>
  <c r="N133" i="81"/>
  <c r="I133" i="81"/>
  <c r="H133" i="81"/>
  <c r="J133" i="81"/>
  <c r="C133" i="81"/>
  <c r="H81" i="81"/>
  <c r="F81" i="81"/>
  <c r="G81" i="81"/>
  <c r="E81" i="81"/>
  <c r="J81" i="81"/>
  <c r="M81" i="81"/>
  <c r="K81" i="81"/>
  <c r="L81" i="81"/>
  <c r="N81" i="81"/>
  <c r="I81" i="81"/>
  <c r="D184" i="81"/>
  <c r="C81" i="81"/>
  <c r="C61" i="81"/>
  <c r="K61" i="81"/>
  <c r="E61" i="81"/>
  <c r="I61" i="81"/>
  <c r="D164" i="81"/>
  <c r="H61" i="81"/>
  <c r="F61" i="81"/>
  <c r="M61" i="81"/>
  <c r="J61" i="81"/>
  <c r="N61" i="81"/>
  <c r="G61" i="81"/>
  <c r="L61" i="81"/>
  <c r="L217" i="81"/>
  <c r="M217" i="81"/>
  <c r="H217" i="81"/>
  <c r="G217" i="81"/>
  <c r="K217" i="81"/>
  <c r="C217" i="81"/>
  <c r="E217" i="81"/>
  <c r="I217" i="81"/>
  <c r="F217" i="81"/>
  <c r="J217" i="81"/>
  <c r="N217" i="81"/>
  <c r="G121" i="81"/>
  <c r="E121" i="81"/>
  <c r="F121" i="81"/>
  <c r="H121" i="81"/>
  <c r="J121" i="81"/>
  <c r="N121" i="81"/>
  <c r="L121" i="81"/>
  <c r="K121" i="81"/>
  <c r="M121" i="81"/>
  <c r="I121" i="81"/>
  <c r="C121" i="81"/>
  <c r="D224" i="81"/>
  <c r="H117" i="81"/>
  <c r="G117" i="81"/>
  <c r="E117" i="81"/>
  <c r="F117" i="81"/>
  <c r="K117" i="81"/>
  <c r="J117" i="81"/>
  <c r="L117" i="81"/>
  <c r="M117" i="81"/>
  <c r="N117" i="81"/>
  <c r="I117" i="81"/>
  <c r="C117" i="81"/>
  <c r="D220" i="81"/>
  <c r="G108" i="81"/>
  <c r="E108" i="81"/>
  <c r="M108" i="81"/>
  <c r="L108" i="81"/>
  <c r="F108" i="81"/>
  <c r="J108" i="81"/>
  <c r="K108" i="81"/>
  <c r="I108" i="81"/>
  <c r="N108" i="81"/>
  <c r="H108" i="81"/>
  <c r="C108" i="81"/>
  <c r="D211" i="81"/>
  <c r="G72" i="81"/>
  <c r="E72" i="81"/>
  <c r="F72" i="81"/>
  <c r="H72" i="81"/>
  <c r="M72" i="81"/>
  <c r="L72" i="81"/>
  <c r="K72" i="81"/>
  <c r="J72" i="81"/>
  <c r="I72" i="81"/>
  <c r="N72" i="81"/>
  <c r="D175" i="81"/>
  <c r="C72" i="81"/>
  <c r="J17" i="23"/>
  <c r="K17" i="23"/>
  <c r="L64" i="83"/>
  <c r="H62" i="83"/>
  <c r="I61" i="83"/>
  <c r="I58" i="83"/>
  <c r="N62" i="83"/>
  <c r="I65" i="83"/>
  <c r="I62" i="83"/>
  <c r="L60" i="83"/>
  <c r="L66" i="83"/>
  <c r="N57" i="83"/>
  <c r="N61" i="83"/>
  <c r="L63" i="83"/>
  <c r="H59" i="83"/>
  <c r="I57" i="83"/>
  <c r="N65" i="83"/>
  <c r="H58" i="83"/>
  <c r="N64" i="83"/>
  <c r="H63" i="83"/>
  <c r="H65" i="83"/>
  <c r="H265" i="101"/>
  <c r="H242" i="101"/>
  <c r="H244" i="101" s="1"/>
  <c r="G199" i="101"/>
  <c r="G201" i="101" s="1"/>
  <c r="F210" i="101"/>
  <c r="F213" i="101" s="1"/>
  <c r="H312" i="101"/>
  <c r="H314" i="101" s="1"/>
  <c r="H335" i="101"/>
  <c r="G125" i="101"/>
  <c r="G102" i="101"/>
  <c r="G104" i="101" s="1"/>
  <c r="H100" i="101" s="1"/>
  <c r="H101" i="101" s="1"/>
  <c r="H107" i="101" s="1"/>
  <c r="H108" i="101" s="1"/>
  <c r="H109" i="101" s="1"/>
  <c r="G56" i="101"/>
  <c r="G33" i="101"/>
  <c r="G35" i="101" s="1"/>
  <c r="H31" i="101" s="1"/>
  <c r="H32" i="101" s="1"/>
  <c r="H38" i="101" s="1"/>
  <c r="H39" i="101" s="1"/>
  <c r="H40" i="101" s="1"/>
  <c r="G331" i="101"/>
  <c r="G332" i="101" s="1"/>
  <c r="G269" i="101"/>
  <c r="G271" i="101" s="1"/>
  <c r="F280" i="101"/>
  <c r="F283" i="101" s="1"/>
  <c r="G129" i="101"/>
  <c r="G131" i="101" s="1"/>
  <c r="F140" i="101"/>
  <c r="F143" i="101" s="1"/>
  <c r="G195" i="101"/>
  <c r="G202" i="101" s="1"/>
  <c r="G172" i="101"/>
  <c r="G174" i="101" s="1"/>
  <c r="H170" i="101" s="1"/>
  <c r="H171" i="101" s="1"/>
  <c r="H177" i="101" s="1"/>
  <c r="H178" i="101" s="1"/>
  <c r="H179" i="101" s="1"/>
  <c r="G60" i="101"/>
  <c r="G62" i="101" s="1"/>
  <c r="F71" i="101"/>
  <c r="F74" i="101" s="1"/>
  <c r="G339" i="101"/>
  <c r="G341" i="101" s="1"/>
  <c r="N108" i="58"/>
  <c r="L99" i="54"/>
  <c r="G100" i="54"/>
  <c r="N100" i="54"/>
  <c r="I100" i="54"/>
  <c r="E26" i="23"/>
  <c r="E79" i="59" s="1"/>
  <c r="E80" i="59" s="1"/>
  <c r="E116" i="59" s="1"/>
  <c r="E118" i="59" s="1"/>
  <c r="J26" i="23"/>
  <c r="F100" i="54"/>
  <c r="M100" i="54"/>
  <c r="H26" i="23"/>
  <c r="G26" i="23"/>
  <c r="K100" i="54"/>
  <c r="I73" i="84"/>
  <c r="M14" i="23"/>
  <c r="F97" i="54"/>
  <c r="K102" i="84"/>
  <c r="J42" i="84"/>
  <c r="E15" i="23"/>
  <c r="E33" i="73" s="1"/>
  <c r="H15" i="23"/>
  <c r="J100" i="54"/>
  <c r="I135" i="84"/>
  <c r="I125" i="84"/>
  <c r="I89" i="84"/>
  <c r="E14" i="23"/>
  <c r="E22" i="73" s="1"/>
  <c r="E16" i="23"/>
  <c r="E44" i="73" s="1"/>
  <c r="J14" i="23"/>
  <c r="J15" i="23"/>
  <c r="E12" i="23"/>
  <c r="E82" i="58" s="1"/>
  <c r="E126" i="58" s="1"/>
  <c r="J12" i="23"/>
  <c r="J82" i="58" s="1"/>
  <c r="J126" i="58" s="1"/>
  <c r="I42" i="84"/>
  <c r="I102" i="84"/>
  <c r="K16" i="23"/>
  <c r="H16" i="23"/>
  <c r="G13" i="23"/>
  <c r="J13" i="23"/>
  <c r="I13" i="23"/>
  <c r="H12" i="23"/>
  <c r="H82" i="58" s="1"/>
  <c r="H126" i="58" s="1"/>
  <c r="I57" i="84"/>
  <c r="I115" i="84"/>
  <c r="I14" i="23"/>
  <c r="J16" i="23"/>
  <c r="G16" i="23"/>
  <c r="K135" i="84"/>
  <c r="J102" i="84"/>
  <c r="K125" i="84"/>
  <c r="L89" i="84"/>
  <c r="L73" i="84"/>
  <c r="K57" i="84"/>
  <c r="K115" i="84"/>
  <c r="J89" i="84"/>
  <c r="J115" i="84"/>
  <c r="L125" i="84"/>
  <c r="L115" i="84"/>
  <c r="L102" i="84"/>
  <c r="J125" i="84"/>
  <c r="K73" i="84"/>
  <c r="J57" i="84"/>
  <c r="L135" i="84"/>
  <c r="L57" i="84"/>
  <c r="L42" i="84"/>
  <c r="J135" i="84"/>
  <c r="K42" i="84"/>
  <c r="K89" i="84"/>
  <c r="J73" i="84"/>
  <c r="K42" i="8"/>
  <c r="H38" i="8"/>
  <c r="K48" i="8"/>
  <c r="H125" i="84"/>
  <c r="H115" i="84"/>
  <c r="H57" i="84"/>
  <c r="H135" i="84"/>
  <c r="H102" i="84"/>
  <c r="H73" i="84"/>
  <c r="H42" i="84"/>
  <c r="H89" i="84"/>
  <c r="K43" i="8"/>
  <c r="N43" i="8"/>
  <c r="M48" i="8"/>
  <c r="I38" i="8"/>
  <c r="E122" i="59"/>
  <c r="E38" i="8"/>
  <c r="D19" i="40" s="1"/>
  <c r="F115" i="84"/>
  <c r="F135" i="84"/>
  <c r="F102" i="84"/>
  <c r="F125" i="84"/>
  <c r="F42" i="84"/>
  <c r="F73" i="84"/>
  <c r="F57" i="84"/>
  <c r="F89" i="84"/>
  <c r="H39" i="8"/>
  <c r="E48" i="8"/>
  <c r="D82" i="40" s="1"/>
  <c r="E150" i="59"/>
  <c r="E152" i="59" s="1"/>
  <c r="G38" i="8"/>
  <c r="F38" i="8"/>
  <c r="L48" i="8"/>
  <c r="H43" i="8"/>
  <c r="J39" i="8"/>
  <c r="K38" i="8"/>
  <c r="J42" i="8"/>
  <c r="M43" i="8"/>
  <c r="K39" i="8"/>
  <c r="F42" i="8"/>
  <c r="G48" i="8"/>
  <c r="G39" i="8"/>
  <c r="I48" i="8"/>
  <c r="L42" i="8"/>
  <c r="G43" i="8"/>
  <c r="F39" i="8"/>
  <c r="F48" i="8"/>
  <c r="E43" i="8"/>
  <c r="D51" i="40" s="1"/>
  <c r="E138" i="59"/>
  <c r="E140" i="59" s="1"/>
  <c r="L38" i="8"/>
  <c r="J48" i="8"/>
  <c r="M42" i="8"/>
  <c r="H42" i="8"/>
  <c r="J43" i="8"/>
  <c r="I42" i="8"/>
  <c r="I39" i="8"/>
  <c r="H48" i="8"/>
  <c r="E134" i="59"/>
  <c r="E136" i="59" s="1"/>
  <c r="E42" i="8"/>
  <c r="J38" i="8"/>
  <c r="G89" i="84"/>
  <c r="G57" i="84"/>
  <c r="G135" i="84"/>
  <c r="G115" i="84"/>
  <c r="G42" i="84"/>
  <c r="G73" i="84"/>
  <c r="G102" i="84"/>
  <c r="G125" i="84"/>
  <c r="E115" i="84"/>
  <c r="E57" i="84"/>
  <c r="E102" i="84"/>
  <c r="E42" i="84"/>
  <c r="E89" i="84"/>
  <c r="E73" i="84"/>
  <c r="E125" i="84"/>
  <c r="E135" i="84"/>
  <c r="L43" i="8"/>
  <c r="I43" i="8"/>
  <c r="G42" i="8"/>
  <c r="N42" i="8"/>
  <c r="L39" i="8"/>
  <c r="F43" i="8"/>
  <c r="E39" i="8"/>
  <c r="D33" i="40" s="1"/>
  <c r="E126" i="59"/>
  <c r="E128" i="59" s="1"/>
  <c r="N48" i="8"/>
  <c r="E21" i="76"/>
  <c r="E70" i="33"/>
  <c r="G14" i="23"/>
  <c r="F16" i="23"/>
  <c r="F12" i="23"/>
  <c r="F82" i="58" s="1"/>
  <c r="F126" i="58" s="1"/>
  <c r="K12" i="23"/>
  <c r="K82" i="58" s="1"/>
  <c r="K126" i="58" s="1"/>
  <c r="L13" i="23"/>
  <c r="N15" i="23"/>
  <c r="N16" i="23"/>
  <c r="E13" i="23"/>
  <c r="E10" i="73" s="1"/>
  <c r="H14" i="23"/>
  <c r="F15" i="23"/>
  <c r="F14" i="23"/>
  <c r="F13" i="23"/>
  <c r="G12" i="23"/>
  <c r="G82" i="58" s="1"/>
  <c r="G126" i="58" s="1"/>
  <c r="I15" i="23"/>
  <c r="K14" i="23"/>
  <c r="K13" i="23"/>
  <c r="M16" i="23"/>
  <c r="L14" i="23"/>
  <c r="L15" i="23"/>
  <c r="L12" i="23"/>
  <c r="L82" i="58" s="1"/>
  <c r="L126" i="58" s="1"/>
  <c r="I12" i="23"/>
  <c r="I82" i="58" s="1"/>
  <c r="I126" i="58" s="1"/>
  <c r="K15" i="23"/>
  <c r="L16" i="23"/>
  <c r="F99" i="54"/>
  <c r="H13" i="23"/>
  <c r="H99" i="54"/>
  <c r="K99" i="54"/>
  <c r="J97" i="54"/>
  <c r="I16" i="23"/>
  <c r="E98" i="54"/>
  <c r="D47" i="84"/>
  <c r="O47" i="84" s="1"/>
  <c r="D92" i="84"/>
  <c r="O92" i="84" s="1"/>
  <c r="D128" i="84"/>
  <c r="O128" i="84" s="1"/>
  <c r="D105" i="84"/>
  <c r="O105" i="84" s="1"/>
  <c r="D118" i="84"/>
  <c r="O118" i="84" s="1"/>
  <c r="D78" i="84"/>
  <c r="O78" i="84" s="1"/>
  <c r="D62" i="84"/>
  <c r="O62" i="84" s="1"/>
  <c r="D138" i="84"/>
  <c r="O138" i="84" s="1"/>
  <c r="M15" i="23"/>
  <c r="M13" i="23"/>
  <c r="M12" i="23"/>
  <c r="M82" i="58" s="1"/>
  <c r="M126" i="58" s="1"/>
  <c r="G15" i="23"/>
  <c r="H25" i="64"/>
  <c r="G145" i="21"/>
  <c r="G144" i="21"/>
  <c r="H98" i="54"/>
  <c r="J98" i="55"/>
  <c r="G139" i="21"/>
  <c r="G138" i="21"/>
  <c r="G142" i="21"/>
  <c r="G141" i="21"/>
  <c r="J98" i="54"/>
  <c r="M98" i="54"/>
  <c r="G29" i="64"/>
  <c r="G35" i="64" s="1"/>
  <c r="G98" i="54"/>
  <c r="L98" i="54"/>
  <c r="H73" i="21"/>
  <c r="H143" i="21"/>
  <c r="L98" i="55"/>
  <c r="K98" i="54"/>
  <c r="H71" i="21"/>
  <c r="H140" i="21"/>
  <c r="M98" i="55"/>
  <c r="N98" i="54"/>
  <c r="E97" i="54"/>
  <c r="H69" i="21"/>
  <c r="H137" i="21"/>
  <c r="F98" i="54"/>
  <c r="D44" i="40" l="1"/>
  <c r="E74" i="33"/>
  <c r="L186" i="81"/>
  <c r="N186" i="81"/>
  <c r="C186" i="81"/>
  <c r="E186" i="81"/>
  <c r="E82" i="83"/>
  <c r="J89" i="83"/>
  <c r="J85" i="83"/>
  <c r="J83" i="83"/>
  <c r="N77" i="83"/>
  <c r="J86" i="83"/>
  <c r="J81" i="83"/>
  <c r="N74" i="83"/>
  <c r="E87" i="83"/>
  <c r="M75" i="83"/>
  <c r="E97" i="83"/>
  <c r="E94" i="83"/>
  <c r="E102" i="83"/>
  <c r="E95" i="83"/>
  <c r="E100" i="83"/>
  <c r="E96" i="83"/>
  <c r="E98" i="83"/>
  <c r="E101" i="83"/>
  <c r="E99" i="83"/>
  <c r="E103" i="83"/>
  <c r="H102" i="83"/>
  <c r="H97" i="83"/>
  <c r="H98" i="83"/>
  <c r="H101" i="83"/>
  <c r="H95" i="83"/>
  <c r="H103" i="83"/>
  <c r="H96" i="83"/>
  <c r="H99" i="83"/>
  <c r="H94" i="83"/>
  <c r="H100" i="83"/>
  <c r="M97" i="83"/>
  <c r="Z28" i="23" s="1"/>
  <c r="M28" i="23" s="1"/>
  <c r="M102" i="83"/>
  <c r="M98" i="83"/>
  <c r="M101" i="83"/>
  <c r="M96" i="83"/>
  <c r="M99" i="83"/>
  <c r="M103" i="83"/>
  <c r="M94" i="83"/>
  <c r="M100" i="83"/>
  <c r="M95" i="83"/>
  <c r="F103" i="83"/>
  <c r="F96" i="83"/>
  <c r="F98" i="83"/>
  <c r="F99" i="83"/>
  <c r="F94" i="83"/>
  <c r="F101" i="83"/>
  <c r="F100" i="83"/>
  <c r="F97" i="83"/>
  <c r="F102" i="83"/>
  <c r="F95" i="83"/>
  <c r="M76" i="83"/>
  <c r="N103" i="83"/>
  <c r="N100" i="83"/>
  <c r="N97" i="83"/>
  <c r="N102" i="83"/>
  <c r="N95" i="83"/>
  <c r="N96" i="83"/>
  <c r="N98" i="83"/>
  <c r="N99" i="83"/>
  <c r="N94" i="83"/>
  <c r="N101" i="83"/>
  <c r="G99" i="83"/>
  <c r="T25" i="23" s="1"/>
  <c r="G25" i="23" s="1"/>
  <c r="G103" i="83"/>
  <c r="G100" i="83"/>
  <c r="G95" i="83"/>
  <c r="T9" i="23" s="1"/>
  <c r="G9" i="23" s="1"/>
  <c r="G260" i="46" s="1"/>
  <c r="G98" i="83"/>
  <c r="T24" i="23" s="1"/>
  <c r="G24" i="23" s="1"/>
  <c r="G102" i="83"/>
  <c r="G96" i="83"/>
  <c r="T10" i="23" s="1"/>
  <c r="G10" i="23" s="1"/>
  <c r="G81" i="54" s="1"/>
  <c r="G125" i="54" s="1"/>
  <c r="G107" i="54" s="1"/>
  <c r="G94" i="83"/>
  <c r="G101" i="83"/>
  <c r="G97" i="83"/>
  <c r="T28" i="23" s="1"/>
  <c r="G28" i="23" s="1"/>
  <c r="I97" i="83"/>
  <c r="I102" i="83"/>
  <c r="I100" i="83"/>
  <c r="I99" i="83"/>
  <c r="I103" i="83"/>
  <c r="I96" i="83"/>
  <c r="I94" i="83"/>
  <c r="I95" i="83"/>
  <c r="I98" i="83"/>
  <c r="I101" i="83"/>
  <c r="M72" i="83"/>
  <c r="K99" i="83"/>
  <c r="K97" i="83"/>
  <c r="K94" i="83"/>
  <c r="K100" i="83"/>
  <c r="K95" i="83"/>
  <c r="K98" i="83"/>
  <c r="K103" i="83"/>
  <c r="K102" i="83"/>
  <c r="K101" i="83"/>
  <c r="K96" i="83"/>
  <c r="L102" i="83"/>
  <c r="L95" i="83"/>
  <c r="L94" i="83"/>
  <c r="L100" i="83"/>
  <c r="L97" i="83"/>
  <c r="L99" i="83"/>
  <c r="Y25" i="23" s="1"/>
  <c r="L25" i="23" s="1"/>
  <c r="L98" i="83"/>
  <c r="Y24" i="23" s="1"/>
  <c r="L24" i="23" s="1"/>
  <c r="L101" i="83"/>
  <c r="L103" i="83"/>
  <c r="L96" i="83"/>
  <c r="J103" i="83"/>
  <c r="J102" i="83"/>
  <c r="J95" i="83"/>
  <c r="J96" i="83"/>
  <c r="J98" i="83"/>
  <c r="J99" i="83"/>
  <c r="W25" i="23" s="1"/>
  <c r="J25" i="23" s="1"/>
  <c r="J94" i="83"/>
  <c r="J101" i="83"/>
  <c r="J100" i="83"/>
  <c r="J97" i="83"/>
  <c r="T8" i="23"/>
  <c r="G8" i="23" s="1"/>
  <c r="J84" i="83"/>
  <c r="N72" i="83"/>
  <c r="M74" i="83"/>
  <c r="M70" i="83"/>
  <c r="M77" i="83"/>
  <c r="L70" i="83"/>
  <c r="Y8" i="23" s="1"/>
  <c r="L8" i="23" s="1"/>
  <c r="L71" i="83"/>
  <c r="F85" i="83"/>
  <c r="I89" i="83"/>
  <c r="H85" i="83"/>
  <c r="Y18" i="23"/>
  <c r="L18" i="23" s="1"/>
  <c r="F88" i="83"/>
  <c r="Y11" i="23"/>
  <c r="L11" i="23" s="1"/>
  <c r="L81" i="55" s="1"/>
  <c r="L125" i="55" s="1"/>
  <c r="L107" i="55" s="1"/>
  <c r="H84" i="83"/>
  <c r="H81" i="83"/>
  <c r="F75" i="83"/>
  <c r="R18" i="23"/>
  <c r="E18" i="23" s="1"/>
  <c r="E184" i="8"/>
  <c r="E83" i="97" s="1"/>
  <c r="F184" i="8"/>
  <c r="F83" i="97" s="1"/>
  <c r="I184" i="8"/>
  <c r="I83" i="97" s="1"/>
  <c r="G184" i="8"/>
  <c r="G83" i="97" s="1"/>
  <c r="N184" i="8"/>
  <c r="N83" i="97" s="1"/>
  <c r="E88" i="72"/>
  <c r="M184" i="8"/>
  <c r="M83" i="97" s="1"/>
  <c r="H184" i="8"/>
  <c r="H83" i="97" s="1"/>
  <c r="J184" i="8"/>
  <c r="J83" i="97" s="1"/>
  <c r="K184" i="8"/>
  <c r="K83" i="97" s="1"/>
  <c r="L184" i="8"/>
  <c r="L83" i="97" s="1"/>
  <c r="AA18" i="23"/>
  <c r="N18" i="23" s="1"/>
  <c r="Z18" i="23"/>
  <c r="M18" i="23" s="1"/>
  <c r="U18" i="23"/>
  <c r="H18" i="23" s="1"/>
  <c r="V18" i="23"/>
  <c r="I18" i="23" s="1"/>
  <c r="F90" i="83"/>
  <c r="H83" i="83"/>
  <c r="L76" i="83"/>
  <c r="K83" i="83"/>
  <c r="M83" i="83"/>
  <c r="W18" i="23"/>
  <c r="J18" i="23" s="1"/>
  <c r="S11" i="23"/>
  <c r="F11" i="23" s="1"/>
  <c r="F81" i="55" s="1"/>
  <c r="F125" i="55" s="1"/>
  <c r="F107" i="55" s="1"/>
  <c r="S18" i="23"/>
  <c r="F18" i="23" s="1"/>
  <c r="T18" i="23"/>
  <c r="G18" i="23" s="1"/>
  <c r="K71" i="83"/>
  <c r="K72" i="83"/>
  <c r="K74" i="83"/>
  <c r="K75" i="83"/>
  <c r="K73" i="83"/>
  <c r="I83" i="83"/>
  <c r="I90" i="83"/>
  <c r="M90" i="83"/>
  <c r="K76" i="83"/>
  <c r="L73" i="83"/>
  <c r="L77" i="83"/>
  <c r="L72" i="83"/>
  <c r="I86" i="83"/>
  <c r="V25" i="23" s="1"/>
  <c r="I25" i="23" s="1"/>
  <c r="I85" i="83"/>
  <c r="V24" i="23" s="1"/>
  <c r="I24" i="23" s="1"/>
  <c r="M87" i="83"/>
  <c r="H87" i="83"/>
  <c r="L75" i="83"/>
  <c r="K70" i="83"/>
  <c r="F77" i="83"/>
  <c r="F71" i="83"/>
  <c r="F76" i="83"/>
  <c r="F73" i="83"/>
  <c r="F72" i="83"/>
  <c r="I88" i="83"/>
  <c r="I81" i="83"/>
  <c r="K77" i="83"/>
  <c r="M71" i="83"/>
  <c r="F89" i="83"/>
  <c r="F84" i="83"/>
  <c r="M89" i="83"/>
  <c r="M81" i="83"/>
  <c r="I62" i="8"/>
  <c r="F81" i="83"/>
  <c r="S8" i="23" s="1"/>
  <c r="F8" i="23" s="1"/>
  <c r="F83" i="83"/>
  <c r="K87" i="83"/>
  <c r="I82" i="83"/>
  <c r="I87" i="83"/>
  <c r="M88" i="83"/>
  <c r="M85" i="83"/>
  <c r="F82" i="83"/>
  <c r="F86" i="83"/>
  <c r="M86" i="83"/>
  <c r="M82" i="83"/>
  <c r="J73" i="83"/>
  <c r="J76" i="83"/>
  <c r="J70" i="83"/>
  <c r="W8" i="23" s="1"/>
  <c r="J8" i="23" s="1"/>
  <c r="J77" i="83"/>
  <c r="J75" i="83"/>
  <c r="J74" i="83"/>
  <c r="J71" i="83"/>
  <c r="J72" i="83"/>
  <c r="K81" i="83"/>
  <c r="K85" i="83"/>
  <c r="N71" i="83"/>
  <c r="N76" i="83"/>
  <c r="E89" i="83"/>
  <c r="E85" i="83"/>
  <c r="E86" i="83"/>
  <c r="H75" i="83"/>
  <c r="H71" i="83"/>
  <c r="H70" i="83"/>
  <c r="H77" i="83"/>
  <c r="H74" i="83"/>
  <c r="H76" i="83"/>
  <c r="H72" i="83"/>
  <c r="E72" i="83"/>
  <c r="E70" i="83"/>
  <c r="E77" i="83"/>
  <c r="T27" i="23"/>
  <c r="G27" i="23" s="1"/>
  <c r="K90" i="83"/>
  <c r="K88" i="83"/>
  <c r="K86" i="83"/>
  <c r="J88" i="83"/>
  <c r="J82" i="83"/>
  <c r="N75" i="83"/>
  <c r="E73" i="83"/>
  <c r="E81" i="83"/>
  <c r="E74" i="83"/>
  <c r="R11" i="23" s="1"/>
  <c r="E11" i="23" s="1"/>
  <c r="E81" i="55" s="1"/>
  <c r="E125" i="55" s="1"/>
  <c r="E107" i="55" s="1"/>
  <c r="E84" i="83"/>
  <c r="H82" i="83"/>
  <c r="H89" i="83"/>
  <c r="H90" i="83"/>
  <c r="H86" i="83"/>
  <c r="I75" i="83"/>
  <c r="I77" i="83"/>
  <c r="I71" i="83"/>
  <c r="I70" i="83"/>
  <c r="I73" i="83"/>
  <c r="I72" i="83"/>
  <c r="I76" i="83"/>
  <c r="I74" i="83"/>
  <c r="K82" i="83"/>
  <c r="K84" i="83"/>
  <c r="J87" i="83"/>
  <c r="N70" i="83"/>
  <c r="E90" i="83"/>
  <c r="E71" i="83"/>
  <c r="R9" i="23" s="1"/>
  <c r="E9" i="23" s="1"/>
  <c r="E260" i="46" s="1"/>
  <c r="N42" i="85" s="1"/>
  <c r="E75" i="83"/>
  <c r="E83" i="83"/>
  <c r="N82" i="83"/>
  <c r="N87" i="83"/>
  <c r="N89" i="83"/>
  <c r="N83" i="83"/>
  <c r="N81" i="83"/>
  <c r="N88" i="83"/>
  <c r="N84" i="83"/>
  <c r="AA28" i="23" s="1"/>
  <c r="N28" i="23" s="1"/>
  <c r="N90" i="83"/>
  <c r="N85" i="83"/>
  <c r="N86" i="83"/>
  <c r="E109" i="83"/>
  <c r="E116" i="83"/>
  <c r="L62" i="8"/>
  <c r="M62" i="8"/>
  <c r="F62" i="8"/>
  <c r="G62" i="8"/>
  <c r="H62" i="8"/>
  <c r="K62" i="8"/>
  <c r="G181" i="8"/>
  <c r="G31" i="97" s="1"/>
  <c r="S24" i="23"/>
  <c r="F24" i="23" s="1"/>
  <c r="E110" i="83"/>
  <c r="G111" i="83"/>
  <c r="G115" i="83"/>
  <c r="I128" i="83"/>
  <c r="I127" i="83"/>
  <c r="I126" i="83"/>
  <c r="I122" i="83"/>
  <c r="I124" i="83"/>
  <c r="I120" i="83"/>
  <c r="V21" i="23" s="1"/>
  <c r="I21" i="23" s="1"/>
  <c r="I121" i="83"/>
  <c r="I125" i="83"/>
  <c r="I129" i="83"/>
  <c r="N127" i="83"/>
  <c r="N121" i="83"/>
  <c r="N120" i="83"/>
  <c r="AA21" i="23" s="1"/>
  <c r="N21" i="23" s="1"/>
  <c r="N124" i="83"/>
  <c r="N126" i="83"/>
  <c r="N129" i="83"/>
  <c r="N123" i="83"/>
  <c r="N122" i="83"/>
  <c r="N125" i="83"/>
  <c r="H112" i="83"/>
  <c r="H108" i="83"/>
  <c r="H107" i="83"/>
  <c r="H109" i="83"/>
  <c r="H110" i="83"/>
  <c r="H114" i="83"/>
  <c r="H115" i="83"/>
  <c r="H116" i="83"/>
  <c r="H111" i="83"/>
  <c r="L115" i="83"/>
  <c r="L113" i="83"/>
  <c r="L110" i="83"/>
  <c r="L109" i="83"/>
  <c r="L112" i="83"/>
  <c r="L107" i="83"/>
  <c r="L116" i="83"/>
  <c r="L114" i="83"/>
  <c r="L108" i="83"/>
  <c r="F127" i="83"/>
  <c r="F120" i="83"/>
  <c r="S21" i="23" s="1"/>
  <c r="F21" i="23" s="1"/>
  <c r="F126" i="83"/>
  <c r="F123" i="83"/>
  <c r="F122" i="83"/>
  <c r="F125" i="83"/>
  <c r="F124" i="83"/>
  <c r="F129" i="83"/>
  <c r="F121" i="83"/>
  <c r="K121" i="83"/>
  <c r="K129" i="83"/>
  <c r="K122" i="83"/>
  <c r="K125" i="83"/>
  <c r="K127" i="83"/>
  <c r="K128" i="83"/>
  <c r="K126" i="83"/>
  <c r="K120" i="83"/>
  <c r="X21" i="23" s="1"/>
  <c r="K21" i="23" s="1"/>
  <c r="K124" i="83"/>
  <c r="M111" i="83"/>
  <c r="M115" i="83"/>
  <c r="M112" i="83"/>
  <c r="M114" i="83"/>
  <c r="M109" i="83"/>
  <c r="M113" i="83"/>
  <c r="M108" i="83"/>
  <c r="M107" i="83"/>
  <c r="M116" i="83"/>
  <c r="M110" i="83"/>
  <c r="F110" i="83"/>
  <c r="F112" i="83"/>
  <c r="F107" i="83"/>
  <c r="F109" i="83"/>
  <c r="F114" i="83"/>
  <c r="F111" i="83"/>
  <c r="F108" i="83"/>
  <c r="F115" i="83"/>
  <c r="F113" i="83"/>
  <c r="J122" i="83"/>
  <c r="J120" i="83"/>
  <c r="W21" i="23" s="1"/>
  <c r="J21" i="23" s="1"/>
  <c r="J126" i="83"/>
  <c r="J129" i="83"/>
  <c r="J128" i="83"/>
  <c r="J124" i="83"/>
  <c r="J123" i="83"/>
  <c r="J127" i="83"/>
  <c r="J125" i="83"/>
  <c r="G125" i="83"/>
  <c r="G128" i="83"/>
  <c r="G121" i="83"/>
  <c r="G123" i="83"/>
  <c r="G124" i="83"/>
  <c r="G127" i="83"/>
  <c r="G120" i="83"/>
  <c r="T21" i="23" s="1"/>
  <c r="G21" i="23" s="1"/>
  <c r="G122" i="83"/>
  <c r="G126" i="83"/>
  <c r="E129" i="83"/>
  <c r="E127" i="83"/>
  <c r="E124" i="83"/>
  <c r="E122" i="83"/>
  <c r="E121" i="83"/>
  <c r="E120" i="83"/>
  <c r="R21" i="23" s="1"/>
  <c r="E21" i="23" s="1"/>
  <c r="E126" i="83"/>
  <c r="E128" i="83"/>
  <c r="E123" i="83"/>
  <c r="I114" i="83"/>
  <c r="I113" i="83"/>
  <c r="I110" i="83"/>
  <c r="I112" i="83"/>
  <c r="I107" i="83"/>
  <c r="I115" i="83"/>
  <c r="I108" i="83"/>
  <c r="I116" i="83"/>
  <c r="I109" i="83"/>
  <c r="H125" i="83"/>
  <c r="H126" i="83"/>
  <c r="H121" i="83"/>
  <c r="H120" i="83"/>
  <c r="U21" i="23" s="1"/>
  <c r="H21" i="23" s="1"/>
  <c r="H122" i="83"/>
  <c r="H124" i="83"/>
  <c r="H128" i="83"/>
  <c r="H123" i="83"/>
  <c r="H127" i="83"/>
  <c r="L125" i="83"/>
  <c r="L121" i="83"/>
  <c r="L128" i="83"/>
  <c r="L120" i="83"/>
  <c r="Y21" i="23" s="1"/>
  <c r="L21" i="23" s="1"/>
  <c r="L123" i="83"/>
  <c r="L124" i="83"/>
  <c r="L127" i="83"/>
  <c r="L129" i="83"/>
  <c r="L126" i="83"/>
  <c r="M120" i="83"/>
  <c r="Z21" i="23" s="1"/>
  <c r="M21" i="23" s="1"/>
  <c r="M124" i="83"/>
  <c r="M122" i="83"/>
  <c r="M123" i="83"/>
  <c r="M125" i="83"/>
  <c r="M128" i="83"/>
  <c r="M121" i="83"/>
  <c r="M127" i="83"/>
  <c r="M126" i="83"/>
  <c r="N112" i="83"/>
  <c r="N113" i="83"/>
  <c r="N108" i="83"/>
  <c r="N114" i="83"/>
  <c r="N116" i="83"/>
  <c r="N109" i="83"/>
  <c r="N110" i="83"/>
  <c r="N107" i="83"/>
  <c r="N111" i="83"/>
  <c r="N115" i="83"/>
  <c r="C211" i="81"/>
  <c r="E211" i="81"/>
  <c r="F211" i="81"/>
  <c r="M211" i="81"/>
  <c r="L211" i="81"/>
  <c r="I211" i="81"/>
  <c r="N211" i="81"/>
  <c r="K211" i="81"/>
  <c r="H211" i="81"/>
  <c r="G211" i="81"/>
  <c r="J211" i="81"/>
  <c r="N220" i="81"/>
  <c r="F220" i="81"/>
  <c r="G220" i="81"/>
  <c r="M220" i="81"/>
  <c r="E220" i="81"/>
  <c r="J220" i="81"/>
  <c r="L220" i="81"/>
  <c r="H220" i="81"/>
  <c r="I220" i="81"/>
  <c r="C220" i="81"/>
  <c r="K220" i="81"/>
  <c r="E112" i="83"/>
  <c r="E108" i="83"/>
  <c r="E113" i="83"/>
  <c r="E115" i="83"/>
  <c r="E111" i="83"/>
  <c r="E107" i="83"/>
  <c r="E234" i="81"/>
  <c r="H234" i="81"/>
  <c r="C234" i="81"/>
  <c r="L234" i="81"/>
  <c r="J234" i="81"/>
  <c r="M234" i="81"/>
  <c r="K234" i="81"/>
  <c r="I234" i="81"/>
  <c r="N234" i="81"/>
  <c r="F234" i="81"/>
  <c r="G234" i="81"/>
  <c r="F215" i="81"/>
  <c r="G215" i="81"/>
  <c r="C215" i="81"/>
  <c r="M215" i="81"/>
  <c r="L215" i="81"/>
  <c r="K215" i="81"/>
  <c r="E215" i="81"/>
  <c r="H215" i="81"/>
  <c r="N215" i="81"/>
  <c r="I215" i="81"/>
  <c r="J215" i="81"/>
  <c r="G185" i="81"/>
  <c r="K185" i="81"/>
  <c r="C185" i="81"/>
  <c r="E185" i="81"/>
  <c r="I185" i="81"/>
  <c r="N185" i="81"/>
  <c r="F185" i="81"/>
  <c r="J185" i="81"/>
  <c r="L185" i="81"/>
  <c r="M185" i="81"/>
  <c r="H185" i="81"/>
  <c r="C208" i="81"/>
  <c r="N208" i="81"/>
  <c r="M208" i="81"/>
  <c r="F208" i="81"/>
  <c r="L208" i="81"/>
  <c r="J208" i="81"/>
  <c r="K208" i="81"/>
  <c r="I208" i="81"/>
  <c r="G208" i="81"/>
  <c r="E208" i="81"/>
  <c r="H208" i="81"/>
  <c r="E193" i="81"/>
  <c r="J193" i="81"/>
  <c r="C193" i="81"/>
  <c r="N193" i="81"/>
  <c r="H193" i="81"/>
  <c r="L193" i="81"/>
  <c r="K193" i="81"/>
  <c r="F193" i="81"/>
  <c r="G193" i="81"/>
  <c r="I193" i="81"/>
  <c r="M193" i="81"/>
  <c r="K191" i="81"/>
  <c r="I191" i="81"/>
  <c r="E191" i="81"/>
  <c r="L191" i="81"/>
  <c r="J191" i="81"/>
  <c r="F191" i="81"/>
  <c r="N191" i="81"/>
  <c r="C191" i="81"/>
  <c r="G191" i="81"/>
  <c r="M191" i="81"/>
  <c r="H191" i="81"/>
  <c r="C195" i="81"/>
  <c r="M195" i="81"/>
  <c r="H195" i="81"/>
  <c r="L195" i="81"/>
  <c r="N195" i="81"/>
  <c r="J195" i="81"/>
  <c r="K195" i="81"/>
  <c r="E195" i="81"/>
  <c r="G195" i="81"/>
  <c r="F195" i="81"/>
  <c r="I195" i="81"/>
  <c r="C166" i="81"/>
  <c r="M166" i="81"/>
  <c r="H166" i="81"/>
  <c r="N166" i="81"/>
  <c r="I166" i="81"/>
  <c r="K166" i="81"/>
  <c r="J166" i="81"/>
  <c r="E166" i="81"/>
  <c r="G166" i="81"/>
  <c r="F166" i="81"/>
  <c r="L166" i="81"/>
  <c r="C163" i="81"/>
  <c r="H163" i="81"/>
  <c r="J163" i="81"/>
  <c r="E163" i="81"/>
  <c r="K163" i="81"/>
  <c r="F163" i="81"/>
  <c r="G163" i="81"/>
  <c r="M163" i="81"/>
  <c r="L163" i="81"/>
  <c r="N163" i="81"/>
  <c r="I163" i="81"/>
  <c r="C167" i="81"/>
  <c r="H167" i="81"/>
  <c r="J167" i="81"/>
  <c r="E167" i="81"/>
  <c r="K167" i="81"/>
  <c r="F167" i="81"/>
  <c r="G167" i="81"/>
  <c r="M167" i="81"/>
  <c r="L167" i="81"/>
  <c r="N167" i="81"/>
  <c r="I167" i="81"/>
  <c r="C194" i="81"/>
  <c r="M194" i="81"/>
  <c r="G194" i="81"/>
  <c r="L194" i="81"/>
  <c r="F194" i="81"/>
  <c r="J194" i="81"/>
  <c r="K194" i="81"/>
  <c r="N194" i="81"/>
  <c r="I194" i="81"/>
  <c r="E194" i="81"/>
  <c r="H194" i="81"/>
  <c r="M202" i="81"/>
  <c r="K202" i="81"/>
  <c r="I202" i="81"/>
  <c r="N202" i="81"/>
  <c r="H202" i="81"/>
  <c r="G202" i="81"/>
  <c r="E202" i="81"/>
  <c r="J202" i="81"/>
  <c r="L202" i="81"/>
  <c r="F202" i="81"/>
  <c r="C202" i="81"/>
  <c r="K204" i="81"/>
  <c r="L204" i="81"/>
  <c r="H204" i="81"/>
  <c r="N204" i="81"/>
  <c r="G204" i="81"/>
  <c r="C204" i="81"/>
  <c r="J204" i="81"/>
  <c r="F204" i="81"/>
  <c r="E204" i="81"/>
  <c r="M204" i="81"/>
  <c r="I204" i="81"/>
  <c r="E176" i="81"/>
  <c r="H176" i="81"/>
  <c r="F176" i="81"/>
  <c r="L176" i="81"/>
  <c r="J176" i="81"/>
  <c r="C176" i="81"/>
  <c r="M176" i="81"/>
  <c r="K176" i="81"/>
  <c r="G176" i="81"/>
  <c r="N176" i="81"/>
  <c r="I176" i="81"/>
  <c r="E238" i="81"/>
  <c r="F238" i="81"/>
  <c r="G238" i="81"/>
  <c r="M238" i="81"/>
  <c r="I238" i="81"/>
  <c r="L238" i="81"/>
  <c r="C238" i="81"/>
  <c r="H238" i="81"/>
  <c r="K238" i="81"/>
  <c r="J238" i="81"/>
  <c r="N238" i="81"/>
  <c r="F242" i="81"/>
  <c r="L242" i="81"/>
  <c r="J242" i="81"/>
  <c r="M242" i="81"/>
  <c r="I242" i="81"/>
  <c r="C242" i="81"/>
  <c r="N242" i="81"/>
  <c r="G242" i="81"/>
  <c r="K242" i="81"/>
  <c r="E242" i="81"/>
  <c r="H242" i="81"/>
  <c r="G225" i="81"/>
  <c r="I225" i="81"/>
  <c r="M225" i="81"/>
  <c r="C225" i="81"/>
  <c r="N225" i="81"/>
  <c r="H225" i="81"/>
  <c r="J225" i="81"/>
  <c r="L225" i="81"/>
  <c r="F225" i="81"/>
  <c r="E225" i="81"/>
  <c r="K225" i="81"/>
  <c r="I181" i="81"/>
  <c r="M181" i="81"/>
  <c r="E181" i="81"/>
  <c r="J181" i="81"/>
  <c r="K181" i="81"/>
  <c r="N181" i="81"/>
  <c r="H181" i="81"/>
  <c r="L181" i="81"/>
  <c r="C181" i="81"/>
  <c r="F181" i="81"/>
  <c r="G181" i="81"/>
  <c r="J237" i="81"/>
  <c r="N237" i="81"/>
  <c r="C237" i="81"/>
  <c r="H237" i="81"/>
  <c r="L237" i="81"/>
  <c r="K237" i="81"/>
  <c r="F237" i="81"/>
  <c r="G237" i="81"/>
  <c r="I237" i="81"/>
  <c r="M237" i="81"/>
  <c r="E237" i="81"/>
  <c r="N232" i="81"/>
  <c r="H232" i="81"/>
  <c r="C232" i="81"/>
  <c r="L232" i="81"/>
  <c r="I232" i="81"/>
  <c r="K232" i="81"/>
  <c r="J232" i="81"/>
  <c r="G232" i="81"/>
  <c r="F232" i="81"/>
  <c r="M232" i="81"/>
  <c r="E232" i="81"/>
  <c r="N175" i="81"/>
  <c r="H175" i="81"/>
  <c r="F175" i="81"/>
  <c r="K175" i="81"/>
  <c r="J175" i="81"/>
  <c r="E175" i="81"/>
  <c r="I175" i="81"/>
  <c r="C175" i="81"/>
  <c r="G175" i="81"/>
  <c r="L175" i="81"/>
  <c r="M175" i="81"/>
  <c r="C224" i="81"/>
  <c r="K224" i="81"/>
  <c r="J224" i="81"/>
  <c r="N224" i="81"/>
  <c r="I224" i="81"/>
  <c r="H224" i="81"/>
  <c r="L224" i="81"/>
  <c r="F224" i="81"/>
  <c r="G224" i="81"/>
  <c r="E224" i="81"/>
  <c r="M224" i="81"/>
  <c r="L184" i="81"/>
  <c r="M184" i="81"/>
  <c r="J184" i="81"/>
  <c r="K184" i="81"/>
  <c r="G184" i="81"/>
  <c r="H184" i="81"/>
  <c r="E184" i="81"/>
  <c r="I184" i="81"/>
  <c r="C184" i="81"/>
  <c r="N184" i="81"/>
  <c r="F184" i="81"/>
  <c r="C174" i="81"/>
  <c r="M174" i="81"/>
  <c r="J174" i="81"/>
  <c r="E174" i="81"/>
  <c r="N174" i="81"/>
  <c r="H174" i="81"/>
  <c r="K174" i="81"/>
  <c r="L174" i="81"/>
  <c r="G174" i="81"/>
  <c r="F174" i="81"/>
  <c r="I174" i="81"/>
  <c r="K178" i="81"/>
  <c r="E178" i="81"/>
  <c r="J178" i="81"/>
  <c r="F178" i="81"/>
  <c r="I178" i="81"/>
  <c r="C178" i="81"/>
  <c r="M178" i="81"/>
  <c r="H178" i="81"/>
  <c r="L178" i="81"/>
  <c r="N178" i="81"/>
  <c r="G178" i="81"/>
  <c r="K172" i="81"/>
  <c r="L172" i="81"/>
  <c r="H172" i="81"/>
  <c r="F172" i="81"/>
  <c r="I172" i="81"/>
  <c r="E172" i="81"/>
  <c r="N172" i="81"/>
  <c r="G172" i="81"/>
  <c r="C172" i="81"/>
  <c r="M172" i="81"/>
  <c r="J172" i="81"/>
  <c r="E240" i="81"/>
  <c r="H240" i="81"/>
  <c r="J240" i="81"/>
  <c r="N240" i="81"/>
  <c r="I240" i="81"/>
  <c r="C240" i="81"/>
  <c r="L240" i="81"/>
  <c r="M240" i="81"/>
  <c r="K240" i="81"/>
  <c r="F240" i="81"/>
  <c r="G240" i="81"/>
  <c r="J161" i="81"/>
  <c r="J119" i="83" s="1"/>
  <c r="J121" i="83" s="1"/>
  <c r="E161" i="81"/>
  <c r="E119" i="83" s="1"/>
  <c r="E125" i="83" s="1"/>
  <c r="L161" i="81"/>
  <c r="L119" i="83" s="1"/>
  <c r="L122" i="83" s="1"/>
  <c r="F161" i="81"/>
  <c r="F119" i="83" s="1"/>
  <c r="F128" i="83" s="1"/>
  <c r="G161" i="81"/>
  <c r="G119" i="83" s="1"/>
  <c r="G129" i="83" s="1"/>
  <c r="M161" i="81"/>
  <c r="M119" i="83" s="1"/>
  <c r="M129" i="83" s="1"/>
  <c r="N161" i="81"/>
  <c r="N119" i="83" s="1"/>
  <c r="N128" i="83" s="1"/>
  <c r="I161" i="81"/>
  <c r="I119" i="83" s="1"/>
  <c r="I123" i="83" s="1"/>
  <c r="H161" i="81"/>
  <c r="C161" i="81"/>
  <c r="K161" i="81"/>
  <c r="K119" i="83" s="1"/>
  <c r="K123" i="83" s="1"/>
  <c r="E200" i="81"/>
  <c r="J200" i="81"/>
  <c r="H200" i="81"/>
  <c r="L200" i="81"/>
  <c r="G200" i="81"/>
  <c r="F200" i="81"/>
  <c r="C200" i="81"/>
  <c r="I200" i="81"/>
  <c r="K200" i="81"/>
  <c r="M200" i="81"/>
  <c r="N200" i="81"/>
  <c r="L188" i="81"/>
  <c r="F188" i="81"/>
  <c r="C188" i="81"/>
  <c r="K188" i="81"/>
  <c r="I188" i="81"/>
  <c r="N188" i="81"/>
  <c r="E188" i="81"/>
  <c r="G188" i="81"/>
  <c r="M188" i="81"/>
  <c r="H188" i="81"/>
  <c r="J188" i="81"/>
  <c r="C210" i="81"/>
  <c r="N210" i="81"/>
  <c r="G210" i="81"/>
  <c r="K210" i="81"/>
  <c r="E210" i="81"/>
  <c r="H210" i="81"/>
  <c r="F210" i="81"/>
  <c r="L210" i="81"/>
  <c r="J210" i="81"/>
  <c r="M210" i="81"/>
  <c r="I210" i="81"/>
  <c r="K214" i="81"/>
  <c r="H214" i="81"/>
  <c r="C214" i="81"/>
  <c r="M214" i="81"/>
  <c r="G214" i="81"/>
  <c r="L214" i="81"/>
  <c r="N214" i="81"/>
  <c r="J214" i="81"/>
  <c r="E214" i="81"/>
  <c r="F214" i="81"/>
  <c r="I214" i="81"/>
  <c r="N228" i="81"/>
  <c r="I228" i="81"/>
  <c r="C228" i="81"/>
  <c r="M228" i="81"/>
  <c r="G228" i="81"/>
  <c r="K228" i="81"/>
  <c r="L228" i="81"/>
  <c r="E228" i="81"/>
  <c r="F228" i="81"/>
  <c r="J228" i="81"/>
  <c r="H228" i="81"/>
  <c r="C170" i="81"/>
  <c r="J170" i="81"/>
  <c r="E170" i="81"/>
  <c r="G170" i="81"/>
  <c r="F170" i="81"/>
  <c r="L170" i="81"/>
  <c r="M170" i="81"/>
  <c r="H170" i="81"/>
  <c r="N170" i="81"/>
  <c r="I170" i="81"/>
  <c r="K170" i="81"/>
  <c r="C209" i="81"/>
  <c r="G209" i="81"/>
  <c r="K209" i="81"/>
  <c r="N209" i="81"/>
  <c r="F209" i="81"/>
  <c r="J209" i="81"/>
  <c r="E209" i="81"/>
  <c r="I209" i="81"/>
  <c r="L209" i="81"/>
  <c r="H209" i="81"/>
  <c r="M209" i="81"/>
  <c r="F229" i="81"/>
  <c r="J229" i="81"/>
  <c r="L229" i="81"/>
  <c r="M229" i="81"/>
  <c r="H229" i="81"/>
  <c r="G229" i="81"/>
  <c r="K229" i="81"/>
  <c r="E229" i="81"/>
  <c r="N229" i="81"/>
  <c r="C229" i="81"/>
  <c r="I229" i="81"/>
  <c r="L182" i="81"/>
  <c r="M182" i="81"/>
  <c r="I182" i="81"/>
  <c r="E182" i="81"/>
  <c r="N182" i="81"/>
  <c r="J182" i="81"/>
  <c r="K182" i="81"/>
  <c r="H182" i="81"/>
  <c r="G182" i="81"/>
  <c r="C182" i="81"/>
  <c r="F182" i="81"/>
  <c r="C233" i="81"/>
  <c r="L233" i="81"/>
  <c r="F233" i="81"/>
  <c r="G233" i="81"/>
  <c r="I233" i="81"/>
  <c r="M233" i="81"/>
  <c r="E233" i="81"/>
  <c r="J233" i="81"/>
  <c r="K233" i="81"/>
  <c r="N233" i="81"/>
  <c r="H233" i="81"/>
  <c r="C179" i="81"/>
  <c r="L179" i="81"/>
  <c r="I179" i="81"/>
  <c r="E179" i="81"/>
  <c r="J179" i="81"/>
  <c r="G179" i="81"/>
  <c r="M179" i="81"/>
  <c r="H179" i="81"/>
  <c r="N179" i="81"/>
  <c r="K179" i="81"/>
  <c r="F179" i="81"/>
  <c r="E216" i="81"/>
  <c r="I216" i="81"/>
  <c r="C216" i="81"/>
  <c r="N216" i="81"/>
  <c r="G216" i="81"/>
  <c r="L216" i="81"/>
  <c r="M216" i="81"/>
  <c r="J216" i="81"/>
  <c r="K216" i="81"/>
  <c r="F216" i="81"/>
  <c r="H216" i="81"/>
  <c r="M235" i="81"/>
  <c r="L235" i="81"/>
  <c r="J235" i="81"/>
  <c r="N235" i="81"/>
  <c r="G235" i="81"/>
  <c r="E235" i="81"/>
  <c r="F235" i="81"/>
  <c r="I235" i="81"/>
  <c r="H235" i="81"/>
  <c r="C235" i="81"/>
  <c r="K235" i="81"/>
  <c r="C212" i="81"/>
  <c r="N212" i="81"/>
  <c r="G212" i="81"/>
  <c r="L212" i="81"/>
  <c r="H212" i="81"/>
  <c r="J212" i="81"/>
  <c r="M212" i="81"/>
  <c r="E212" i="81"/>
  <c r="K212" i="81"/>
  <c r="F212" i="81"/>
  <c r="I212" i="81"/>
  <c r="C180" i="81"/>
  <c r="N180" i="81"/>
  <c r="G180" i="81"/>
  <c r="M180" i="81"/>
  <c r="H180" i="81"/>
  <c r="J180" i="81"/>
  <c r="L180" i="81"/>
  <c r="F180" i="81"/>
  <c r="E180" i="81"/>
  <c r="K180" i="81"/>
  <c r="I180" i="81"/>
  <c r="C168" i="81"/>
  <c r="J168" i="81"/>
  <c r="E168" i="81"/>
  <c r="G168" i="81"/>
  <c r="F168" i="81"/>
  <c r="L168" i="81"/>
  <c r="M168" i="81"/>
  <c r="H168" i="81"/>
  <c r="N168" i="81"/>
  <c r="I168" i="81"/>
  <c r="K168" i="81"/>
  <c r="N219" i="81"/>
  <c r="F219" i="81"/>
  <c r="K219" i="81"/>
  <c r="H219" i="81"/>
  <c r="J219" i="81"/>
  <c r="C219" i="81"/>
  <c r="I219" i="81"/>
  <c r="M219" i="81"/>
  <c r="L219" i="81"/>
  <c r="E219" i="81"/>
  <c r="G219" i="81"/>
  <c r="C169" i="81"/>
  <c r="G169" i="81"/>
  <c r="M169" i="81"/>
  <c r="L169" i="81"/>
  <c r="N169" i="81"/>
  <c r="I169" i="81"/>
  <c r="H169" i="81"/>
  <c r="J169" i="81"/>
  <c r="E169" i="81"/>
  <c r="K169" i="81"/>
  <c r="F169" i="81"/>
  <c r="N236" i="81"/>
  <c r="I236" i="81"/>
  <c r="K236" i="81"/>
  <c r="L236" i="81"/>
  <c r="H236" i="81"/>
  <c r="C236" i="81"/>
  <c r="G236" i="81"/>
  <c r="F236" i="81"/>
  <c r="E236" i="81"/>
  <c r="M236" i="81"/>
  <c r="J236" i="81"/>
  <c r="C221" i="81"/>
  <c r="G221" i="81"/>
  <c r="L221" i="81"/>
  <c r="E221" i="81"/>
  <c r="F221" i="81"/>
  <c r="H221" i="81"/>
  <c r="I221" i="81"/>
  <c r="N221" i="81"/>
  <c r="K221" i="81"/>
  <c r="J221" i="81"/>
  <c r="M221" i="81"/>
  <c r="C173" i="81"/>
  <c r="J173" i="81"/>
  <c r="I173" i="81"/>
  <c r="L173" i="81"/>
  <c r="F173" i="81"/>
  <c r="M173" i="81"/>
  <c r="H173" i="81"/>
  <c r="N173" i="81"/>
  <c r="E173" i="81"/>
  <c r="G173" i="81"/>
  <c r="K173" i="81"/>
  <c r="L241" i="81"/>
  <c r="M241" i="81"/>
  <c r="E241" i="81"/>
  <c r="F241" i="81"/>
  <c r="I241" i="81"/>
  <c r="G241" i="81"/>
  <c r="H241" i="81"/>
  <c r="C241" i="81"/>
  <c r="K241" i="81"/>
  <c r="N241" i="81"/>
  <c r="J241" i="81"/>
  <c r="J115" i="83"/>
  <c r="J112" i="83"/>
  <c r="J110" i="83"/>
  <c r="J113" i="83"/>
  <c r="J107" i="83"/>
  <c r="J111" i="83"/>
  <c r="J109" i="83"/>
  <c r="J108" i="83"/>
  <c r="J116" i="83"/>
  <c r="J114" i="83"/>
  <c r="C162" i="81"/>
  <c r="M162" i="81"/>
  <c r="H162" i="81"/>
  <c r="N162" i="81"/>
  <c r="I162" i="81"/>
  <c r="K162" i="81"/>
  <c r="J162" i="81"/>
  <c r="E162" i="81"/>
  <c r="G162" i="81"/>
  <c r="F162" i="81"/>
  <c r="L162" i="81"/>
  <c r="N230" i="81"/>
  <c r="K230" i="81"/>
  <c r="I230" i="81"/>
  <c r="C230" i="81"/>
  <c r="L230" i="81"/>
  <c r="G230" i="81"/>
  <c r="F230" i="81"/>
  <c r="E230" i="81"/>
  <c r="H230" i="81"/>
  <c r="M230" i="81"/>
  <c r="J230" i="81"/>
  <c r="C159" i="81"/>
  <c r="H159" i="81"/>
  <c r="H93" i="83" s="1"/>
  <c r="G159" i="81"/>
  <c r="G93" i="83" s="1"/>
  <c r="F159" i="81"/>
  <c r="F93" i="83" s="1"/>
  <c r="M159" i="81"/>
  <c r="M93" i="83" s="1"/>
  <c r="E159" i="81"/>
  <c r="E93" i="83" s="1"/>
  <c r="I159" i="81"/>
  <c r="I93" i="83" s="1"/>
  <c r="N159" i="81"/>
  <c r="N93" i="83" s="1"/>
  <c r="L159" i="81"/>
  <c r="L93" i="83" s="1"/>
  <c r="K159" i="81"/>
  <c r="K93" i="83" s="1"/>
  <c r="J159" i="81"/>
  <c r="J93" i="83" s="1"/>
  <c r="H119" i="83"/>
  <c r="H129" i="83" s="1"/>
  <c r="C165" i="81"/>
  <c r="G165" i="81"/>
  <c r="M165" i="81"/>
  <c r="L165" i="81"/>
  <c r="N165" i="81"/>
  <c r="I165" i="81"/>
  <c r="H165" i="81"/>
  <c r="J165" i="81"/>
  <c r="E165" i="81"/>
  <c r="K165" i="81"/>
  <c r="F165" i="81"/>
  <c r="K206" i="81"/>
  <c r="L206" i="81"/>
  <c r="J206" i="81"/>
  <c r="M206" i="81"/>
  <c r="I206" i="81"/>
  <c r="C206" i="81"/>
  <c r="N206" i="81"/>
  <c r="H206" i="81"/>
  <c r="E206" i="81"/>
  <c r="F206" i="81"/>
  <c r="G206" i="81"/>
  <c r="F183" i="81"/>
  <c r="I183" i="81"/>
  <c r="M183" i="81"/>
  <c r="N183" i="81"/>
  <c r="H183" i="81"/>
  <c r="K183" i="81"/>
  <c r="J183" i="81"/>
  <c r="L183" i="81"/>
  <c r="E183" i="81"/>
  <c r="C183" i="81"/>
  <c r="G183" i="81"/>
  <c r="C187" i="81"/>
  <c r="M187" i="81"/>
  <c r="H187" i="81"/>
  <c r="L187" i="81"/>
  <c r="N187" i="81"/>
  <c r="G187" i="81"/>
  <c r="K187" i="81"/>
  <c r="E187" i="81"/>
  <c r="J187" i="81"/>
  <c r="F187" i="81"/>
  <c r="I187" i="81"/>
  <c r="K218" i="81"/>
  <c r="E218" i="81"/>
  <c r="J218" i="81"/>
  <c r="F218" i="81"/>
  <c r="I218" i="81"/>
  <c r="C218" i="81"/>
  <c r="M218" i="81"/>
  <c r="G218" i="81"/>
  <c r="L218" i="81"/>
  <c r="N218" i="81"/>
  <c r="H218" i="81"/>
  <c r="L222" i="81"/>
  <c r="N222" i="81"/>
  <c r="I222" i="81"/>
  <c r="K222" i="81"/>
  <c r="H222" i="81"/>
  <c r="F222" i="81"/>
  <c r="C222" i="81"/>
  <c r="G222" i="81"/>
  <c r="E222" i="81"/>
  <c r="J222" i="81"/>
  <c r="M222" i="81"/>
  <c r="L190" i="81"/>
  <c r="N190" i="81"/>
  <c r="I190" i="81"/>
  <c r="E190" i="81"/>
  <c r="F190" i="81"/>
  <c r="J190" i="81"/>
  <c r="K190" i="81"/>
  <c r="H190" i="81"/>
  <c r="C190" i="81"/>
  <c r="M190" i="81"/>
  <c r="G190" i="81"/>
  <c r="E177" i="81"/>
  <c r="H177" i="81"/>
  <c r="I177" i="81"/>
  <c r="N177" i="81"/>
  <c r="F177" i="81"/>
  <c r="J177" i="81"/>
  <c r="L177" i="81"/>
  <c r="M177" i="81"/>
  <c r="C177" i="81"/>
  <c r="G177" i="81"/>
  <c r="K177" i="81"/>
  <c r="F196" i="81"/>
  <c r="L196" i="81"/>
  <c r="E196" i="81"/>
  <c r="C196" i="81"/>
  <c r="J196" i="81"/>
  <c r="G196" i="81"/>
  <c r="I196" i="81"/>
  <c r="K196" i="81"/>
  <c r="H196" i="81"/>
  <c r="N196" i="81"/>
  <c r="M196" i="81"/>
  <c r="L227" i="81"/>
  <c r="F227" i="81"/>
  <c r="E227" i="81"/>
  <c r="J227" i="81"/>
  <c r="G227" i="81"/>
  <c r="M227" i="81"/>
  <c r="K227" i="81"/>
  <c r="C227" i="81"/>
  <c r="H227" i="81"/>
  <c r="N227" i="81"/>
  <c r="I227" i="81"/>
  <c r="F231" i="81"/>
  <c r="I231" i="81"/>
  <c r="N231" i="81"/>
  <c r="M231" i="81"/>
  <c r="H231" i="81"/>
  <c r="C231" i="81"/>
  <c r="K231" i="81"/>
  <c r="G231" i="81"/>
  <c r="E231" i="81"/>
  <c r="J231" i="81"/>
  <c r="L231" i="81"/>
  <c r="K171" i="81"/>
  <c r="F171" i="81"/>
  <c r="C171" i="81"/>
  <c r="M171" i="81"/>
  <c r="I171" i="81"/>
  <c r="E171" i="81"/>
  <c r="N171" i="81"/>
  <c r="H171" i="81"/>
  <c r="J171" i="81"/>
  <c r="L171" i="81"/>
  <c r="G171" i="81"/>
  <c r="M239" i="81"/>
  <c r="G239" i="81"/>
  <c r="L239" i="81"/>
  <c r="K239" i="81"/>
  <c r="N239" i="81"/>
  <c r="C239" i="81"/>
  <c r="F239" i="81"/>
  <c r="I239" i="81"/>
  <c r="J239" i="81"/>
  <c r="E239" i="81"/>
  <c r="H239" i="81"/>
  <c r="K115" i="83"/>
  <c r="K111" i="83"/>
  <c r="K110" i="83"/>
  <c r="K116" i="83"/>
  <c r="K114" i="83"/>
  <c r="K107" i="83"/>
  <c r="K112" i="83"/>
  <c r="K108" i="83"/>
  <c r="K113" i="83"/>
  <c r="K109" i="83"/>
  <c r="C164" i="81"/>
  <c r="J164" i="81"/>
  <c r="E164" i="81"/>
  <c r="G164" i="81"/>
  <c r="F164" i="81"/>
  <c r="L164" i="81"/>
  <c r="M164" i="81"/>
  <c r="H164" i="81"/>
  <c r="N164" i="81"/>
  <c r="I164" i="81"/>
  <c r="K164" i="81"/>
  <c r="C226" i="81"/>
  <c r="M226" i="81"/>
  <c r="F226" i="81"/>
  <c r="E226" i="81"/>
  <c r="N226" i="81"/>
  <c r="H226" i="81"/>
  <c r="L226" i="81"/>
  <c r="I226" i="81"/>
  <c r="J226" i="81"/>
  <c r="K226" i="81"/>
  <c r="G226" i="81"/>
  <c r="F207" i="81"/>
  <c r="K207" i="81"/>
  <c r="G207" i="81"/>
  <c r="N207" i="81"/>
  <c r="J207" i="81"/>
  <c r="L207" i="81"/>
  <c r="M207" i="81"/>
  <c r="E207" i="81"/>
  <c r="H207" i="81"/>
  <c r="C207" i="81"/>
  <c r="I207" i="81"/>
  <c r="G109" i="83"/>
  <c r="G114" i="83"/>
  <c r="G108" i="83"/>
  <c r="G116" i="83"/>
  <c r="G113" i="83"/>
  <c r="G107" i="83"/>
  <c r="G110" i="83"/>
  <c r="C160" i="81"/>
  <c r="K160" i="81"/>
  <c r="K106" i="83" s="1"/>
  <c r="E160" i="81"/>
  <c r="E106" i="83" s="1"/>
  <c r="E114" i="83" s="1"/>
  <c r="N160" i="81"/>
  <c r="N106" i="83" s="1"/>
  <c r="G160" i="81"/>
  <c r="G106" i="83" s="1"/>
  <c r="G112" i="83" s="1"/>
  <c r="L160" i="81"/>
  <c r="L106" i="83" s="1"/>
  <c r="L111" i="83" s="1"/>
  <c r="J160" i="81"/>
  <c r="J106" i="83" s="1"/>
  <c r="M160" i="81"/>
  <c r="M106" i="83" s="1"/>
  <c r="H160" i="81"/>
  <c r="H106" i="83" s="1"/>
  <c r="H113" i="83" s="1"/>
  <c r="F160" i="81"/>
  <c r="F106" i="83" s="1"/>
  <c r="F116" i="83" s="1"/>
  <c r="I160" i="81"/>
  <c r="I106" i="83" s="1"/>
  <c r="I111" i="83" s="1"/>
  <c r="I213" i="81"/>
  <c r="M213" i="81"/>
  <c r="E213" i="81"/>
  <c r="H213" i="81"/>
  <c r="L213" i="81"/>
  <c r="K213" i="81"/>
  <c r="C213" i="81"/>
  <c r="G213" i="81"/>
  <c r="J213" i="81"/>
  <c r="N213" i="81"/>
  <c r="F213" i="81"/>
  <c r="E203" i="81"/>
  <c r="N203" i="81"/>
  <c r="H203" i="81"/>
  <c r="L203" i="81"/>
  <c r="F203" i="81"/>
  <c r="J203" i="81"/>
  <c r="K203" i="81"/>
  <c r="G203" i="81"/>
  <c r="C203" i="81"/>
  <c r="M203" i="81"/>
  <c r="I203" i="81"/>
  <c r="N192" i="81"/>
  <c r="I192" i="81"/>
  <c r="M192" i="81"/>
  <c r="L192" i="81"/>
  <c r="F192" i="81"/>
  <c r="C192" i="81"/>
  <c r="K192" i="81"/>
  <c r="J192" i="81"/>
  <c r="E192" i="81"/>
  <c r="G192" i="81"/>
  <c r="H192" i="81"/>
  <c r="N199" i="81"/>
  <c r="F199" i="81"/>
  <c r="H199" i="81"/>
  <c r="C199" i="81"/>
  <c r="M199" i="81"/>
  <c r="G199" i="81"/>
  <c r="E199" i="81"/>
  <c r="K199" i="81"/>
  <c r="I199" i="81"/>
  <c r="L199" i="81"/>
  <c r="J199" i="81"/>
  <c r="C198" i="81"/>
  <c r="L198" i="81"/>
  <c r="G198" i="81"/>
  <c r="N198" i="81"/>
  <c r="K198" i="81"/>
  <c r="I198" i="81"/>
  <c r="E198" i="81"/>
  <c r="H198" i="81"/>
  <c r="M198" i="81"/>
  <c r="J198" i="81"/>
  <c r="F198" i="81"/>
  <c r="C223" i="81"/>
  <c r="E223" i="81"/>
  <c r="G223" i="81"/>
  <c r="F223" i="81"/>
  <c r="L223" i="81"/>
  <c r="J223" i="81"/>
  <c r="M223" i="81"/>
  <c r="I223" i="81"/>
  <c r="N223" i="81"/>
  <c r="H223" i="81"/>
  <c r="K223" i="81"/>
  <c r="C201" i="81"/>
  <c r="L201" i="81"/>
  <c r="F201" i="81"/>
  <c r="E201" i="81"/>
  <c r="J201" i="81"/>
  <c r="K201" i="81"/>
  <c r="H201" i="81"/>
  <c r="G201" i="81"/>
  <c r="M201" i="81"/>
  <c r="N201" i="81"/>
  <c r="I201" i="81"/>
  <c r="K205" i="81"/>
  <c r="F205" i="81"/>
  <c r="G205" i="81"/>
  <c r="I205" i="81"/>
  <c r="M205" i="81"/>
  <c r="E205" i="81"/>
  <c r="J205" i="81"/>
  <c r="N205" i="81"/>
  <c r="C205" i="81"/>
  <c r="H205" i="81"/>
  <c r="L205" i="81"/>
  <c r="E181" i="8"/>
  <c r="E85" i="72"/>
  <c r="L181" i="8"/>
  <c r="F181" i="8"/>
  <c r="J181" i="8"/>
  <c r="M181" i="8"/>
  <c r="I181" i="8"/>
  <c r="I31" i="97" s="1"/>
  <c r="K181" i="8"/>
  <c r="K31" i="97" s="1"/>
  <c r="H181" i="8"/>
  <c r="H31" i="97" s="1"/>
  <c r="H56" i="101"/>
  <c r="H33" i="101"/>
  <c r="H35" i="101" s="1"/>
  <c r="H195" i="101"/>
  <c r="H172" i="101"/>
  <c r="H174" i="101" s="1"/>
  <c r="G63" i="101"/>
  <c r="H191" i="101"/>
  <c r="H192" i="101" s="1"/>
  <c r="H199" i="101"/>
  <c r="H201" i="101" s="1"/>
  <c r="G210" i="101"/>
  <c r="G213" i="101" s="1"/>
  <c r="H125" i="101"/>
  <c r="H102" i="101"/>
  <c r="H104" i="101" s="1"/>
  <c r="G272" i="101"/>
  <c r="H261" i="101" s="1"/>
  <c r="H262" i="101" s="1"/>
  <c r="G132" i="101"/>
  <c r="G342" i="101"/>
  <c r="G350" i="101" s="1"/>
  <c r="G353" i="101" s="1"/>
  <c r="F108" i="58"/>
  <c r="M108" i="58"/>
  <c r="I108" i="58"/>
  <c r="L108" i="58"/>
  <c r="H108" i="58"/>
  <c r="J108" i="58"/>
  <c r="G108" i="58"/>
  <c r="K108" i="58"/>
  <c r="E108" i="58"/>
  <c r="J103" i="58"/>
  <c r="H103" i="58"/>
  <c r="I103" i="58"/>
  <c r="K103" i="58"/>
  <c r="G103" i="58"/>
  <c r="L103" i="58"/>
  <c r="E73" i="33"/>
  <c r="E66" i="33"/>
  <c r="E62" i="8"/>
  <c r="M59" i="84"/>
  <c r="N59" i="84"/>
  <c r="N181" i="8"/>
  <c r="J62" i="8"/>
  <c r="M44" i="84"/>
  <c r="J75" i="84"/>
  <c r="N75" i="84"/>
  <c r="I44" i="84"/>
  <c r="J59" i="84"/>
  <c r="L75" i="84"/>
  <c r="J44" i="84"/>
  <c r="H59" i="84"/>
  <c r="D135" i="84"/>
  <c r="O135" i="84" s="1"/>
  <c r="K59" i="84"/>
  <c r="N44" i="84"/>
  <c r="D115" i="84"/>
  <c r="O115" i="84" s="1"/>
  <c r="L44" i="84"/>
  <c r="L59" i="84"/>
  <c r="I59" i="84"/>
  <c r="D102" i="84"/>
  <c r="O102" i="84" s="1"/>
  <c r="K75" i="84"/>
  <c r="K44" i="84"/>
  <c r="I75" i="84"/>
  <c r="D89" i="84"/>
  <c r="O89" i="84" s="1"/>
  <c r="D73" i="84"/>
  <c r="O73" i="84" s="1"/>
  <c r="D57" i="84"/>
  <c r="O57" i="84" s="1"/>
  <c r="D42" i="84"/>
  <c r="O42" i="84" s="1"/>
  <c r="D125" i="84"/>
  <c r="O125" i="84" s="1"/>
  <c r="H75" i="84"/>
  <c r="M75" i="84"/>
  <c r="H44" i="84"/>
  <c r="N62" i="8"/>
  <c r="G59" i="84"/>
  <c r="G44" i="84"/>
  <c r="G75" i="84"/>
  <c r="L49" i="8"/>
  <c r="M49" i="8"/>
  <c r="E75" i="84"/>
  <c r="E59" i="84"/>
  <c r="E44" i="84"/>
  <c r="K49" i="8"/>
  <c r="E158" i="59"/>
  <c r="F44" i="84"/>
  <c r="F75" i="84"/>
  <c r="F59" i="84"/>
  <c r="J49" i="8"/>
  <c r="F49" i="8"/>
  <c r="I49" i="8"/>
  <c r="E154" i="59"/>
  <c r="E156" i="59" s="1"/>
  <c r="E49" i="8"/>
  <c r="D88" i="40" s="1"/>
  <c r="D81" i="33"/>
  <c r="E23" i="76"/>
  <c r="E262" i="8" s="1"/>
  <c r="D135" i="37" s="1"/>
  <c r="L47" i="64"/>
  <c r="H47" i="64"/>
  <c r="K47" i="64"/>
  <c r="G47" i="64"/>
  <c r="N47" i="64"/>
  <c r="J47" i="64"/>
  <c r="F47" i="64"/>
  <c r="M47" i="64"/>
  <c r="E47" i="64"/>
  <c r="I47" i="64"/>
  <c r="H139" i="21"/>
  <c r="H138" i="21"/>
  <c r="H142" i="21"/>
  <c r="H141" i="21"/>
  <c r="H145" i="21"/>
  <c r="H144" i="21"/>
  <c r="H29" i="64"/>
  <c r="H35" i="64" s="1"/>
  <c r="S25" i="23" l="1"/>
  <c r="F25" i="23" s="1"/>
  <c r="V28" i="23"/>
  <c r="I28" i="23" s="1"/>
  <c r="AA11" i="23"/>
  <c r="N11" i="23" s="1"/>
  <c r="V10" i="23"/>
  <c r="I10" i="23" s="1"/>
  <c r="I81" i="54" s="1"/>
  <c r="I125" i="54" s="1"/>
  <c r="X27" i="23"/>
  <c r="K27" i="23" s="1"/>
  <c r="Z11" i="23"/>
  <c r="M11" i="23" s="1"/>
  <c r="Y9" i="23"/>
  <c r="L9" i="23" s="1"/>
  <c r="L260" i="46" s="1"/>
  <c r="E90" i="72"/>
  <c r="M187" i="8" s="1"/>
  <c r="Y27" i="23"/>
  <c r="L27" i="23" s="1"/>
  <c r="AA10" i="23"/>
  <c r="N10" i="23" s="1"/>
  <c r="N81" i="54" s="1"/>
  <c r="N125" i="54" s="1"/>
  <c r="N107" i="54" s="1"/>
  <c r="X25" i="23"/>
  <c r="K25" i="23" s="1"/>
  <c r="X9" i="23"/>
  <c r="K9" i="23" s="1"/>
  <c r="K260" i="46" s="1"/>
  <c r="Y10" i="23"/>
  <c r="L10" i="23" s="1"/>
  <c r="L81" i="54" s="1"/>
  <c r="L125" i="54" s="1"/>
  <c r="L107" i="54" s="1"/>
  <c r="S27" i="23"/>
  <c r="F27" i="23" s="1"/>
  <c r="W10" i="23"/>
  <c r="J10" i="23" s="1"/>
  <c r="J81" i="54" s="1"/>
  <c r="J125" i="54" s="1"/>
  <c r="J107" i="54" s="1"/>
  <c r="W28" i="23"/>
  <c r="J28" i="23" s="1"/>
  <c r="Z10" i="23"/>
  <c r="M10" i="23" s="1"/>
  <c r="M81" i="54" s="1"/>
  <c r="M125" i="54" s="1"/>
  <c r="M107" i="54" s="1"/>
  <c r="Z9" i="23"/>
  <c r="M9" i="23" s="1"/>
  <c r="M260" i="46" s="1"/>
  <c r="Y28" i="23"/>
  <c r="L28" i="23" s="1"/>
  <c r="U28" i="23"/>
  <c r="H28" i="23" s="1"/>
  <c r="U10" i="23"/>
  <c r="H10" i="23" s="1"/>
  <c r="H81" i="54" s="1"/>
  <c r="H125" i="54" s="1"/>
  <c r="H107" i="54" s="1"/>
  <c r="U8" i="23"/>
  <c r="H8" i="23" s="1"/>
  <c r="S9" i="23"/>
  <c r="F9" i="23" s="1"/>
  <c r="F260" i="46" s="1"/>
  <c r="Z8" i="23"/>
  <c r="M8" i="23" s="1"/>
  <c r="AA8" i="23"/>
  <c r="N8" i="23" s="1"/>
  <c r="X11" i="23"/>
  <c r="K11" i="23" s="1"/>
  <c r="K81" i="55" s="1"/>
  <c r="K125" i="55" s="1"/>
  <c r="K107" i="55" s="1"/>
  <c r="W11" i="23"/>
  <c r="J11" i="23" s="1"/>
  <c r="J81" i="55" s="1"/>
  <c r="J125" i="55" s="1"/>
  <c r="J107" i="55" s="1"/>
  <c r="X10" i="23"/>
  <c r="K10" i="23" s="1"/>
  <c r="K81" i="54" s="1"/>
  <c r="K125" i="54" s="1"/>
  <c r="K107" i="54" s="1"/>
  <c r="U9" i="23"/>
  <c r="H9" i="23" s="1"/>
  <c r="H260" i="46" s="1"/>
  <c r="S10" i="23"/>
  <c r="F10" i="23" s="1"/>
  <c r="F81" i="54" s="1"/>
  <c r="F125" i="54" s="1"/>
  <c r="F107" i="54" s="1"/>
  <c r="X28" i="23"/>
  <c r="K28" i="23" s="1"/>
  <c r="S28" i="23"/>
  <c r="F28" i="23" s="1"/>
  <c r="U11" i="23"/>
  <c r="H11" i="23" s="1"/>
  <c r="H81" i="55" s="1"/>
  <c r="H125" i="55" s="1"/>
  <c r="H107" i="55" s="1"/>
  <c r="V11" i="23"/>
  <c r="I11" i="23" s="1"/>
  <c r="I81" i="55" s="1"/>
  <c r="I125" i="55" s="1"/>
  <c r="I107" i="55" s="1"/>
  <c r="V8" i="23"/>
  <c r="I8" i="23" s="1"/>
  <c r="X8" i="23"/>
  <c r="K8" i="23" s="1"/>
  <c r="Z25" i="23"/>
  <c r="M25" i="23" s="1"/>
  <c r="AA9" i="23"/>
  <c r="N9" i="23" s="1"/>
  <c r="N260" i="46" s="1"/>
  <c r="W9" i="23"/>
  <c r="J9" i="23" s="1"/>
  <c r="J260" i="46" s="1"/>
  <c r="Z27" i="23"/>
  <c r="M27" i="23" s="1"/>
  <c r="Z24" i="23"/>
  <c r="M24" i="23" s="1"/>
  <c r="V9" i="23"/>
  <c r="I9" i="23" s="1"/>
  <c r="I260" i="46" s="1"/>
  <c r="AA27" i="23"/>
  <c r="N27" i="23" s="1"/>
  <c r="AA24" i="23"/>
  <c r="N24" i="23" s="1"/>
  <c r="AA25" i="23"/>
  <c r="N25" i="23" s="1"/>
  <c r="W27" i="23"/>
  <c r="J27" i="23" s="1"/>
  <c r="W24" i="23"/>
  <c r="J24" i="23" s="1"/>
  <c r="R8" i="23"/>
  <c r="E8" i="23" s="1"/>
  <c r="E79" i="57" s="1"/>
  <c r="R10" i="23"/>
  <c r="E10" i="23" s="1"/>
  <c r="E81" i="54" s="1"/>
  <c r="E125" i="54" s="1"/>
  <c r="E107" i="54" s="1"/>
  <c r="U24" i="23"/>
  <c r="H24" i="23" s="1"/>
  <c r="U27" i="23"/>
  <c r="H27" i="23" s="1"/>
  <c r="V27" i="23"/>
  <c r="I27" i="23" s="1"/>
  <c r="X24" i="23"/>
  <c r="K24" i="23" s="1"/>
  <c r="R24" i="23"/>
  <c r="E24" i="23" s="1"/>
  <c r="R27" i="23"/>
  <c r="E27" i="23" s="1"/>
  <c r="U25" i="23"/>
  <c r="H25" i="23" s="1"/>
  <c r="R28" i="23"/>
  <c r="E28" i="23" s="1"/>
  <c r="E11" i="76" s="1"/>
  <c r="E13" i="76" s="1"/>
  <c r="R25" i="23"/>
  <c r="E25" i="23" s="1"/>
  <c r="I262" i="8"/>
  <c r="I35" i="58" s="1"/>
  <c r="I116" i="58" s="1"/>
  <c r="N262" i="8"/>
  <c r="N35" i="58" s="1"/>
  <c r="N116" i="58" s="1"/>
  <c r="H262" i="8"/>
  <c r="H35" i="58" s="1"/>
  <c r="H116" i="58" s="1"/>
  <c r="L262" i="8"/>
  <c r="L35" i="58" s="1"/>
  <c r="L116" i="58" s="1"/>
  <c r="F262" i="8"/>
  <c r="F35" i="58" s="1"/>
  <c r="F116" i="58" s="1"/>
  <c r="J262" i="8"/>
  <c r="J35" i="58" s="1"/>
  <c r="J116" i="58" s="1"/>
  <c r="J98" i="58" s="1"/>
  <c r="M262" i="8"/>
  <c r="M35" i="58" s="1"/>
  <c r="M116" i="58" s="1"/>
  <c r="G262" i="8"/>
  <c r="G35" i="58" s="1"/>
  <c r="G116" i="58" s="1"/>
  <c r="K262" i="8"/>
  <c r="K35" i="58" s="1"/>
  <c r="K116" i="58" s="1"/>
  <c r="I107" i="54"/>
  <c r="M31" i="97"/>
  <c r="L31" i="97"/>
  <c r="E31" i="97"/>
  <c r="J31" i="97"/>
  <c r="F31" i="97"/>
  <c r="L172" i="58"/>
  <c r="K172" i="58"/>
  <c r="H172" i="58"/>
  <c r="I172" i="58"/>
  <c r="J172" i="58"/>
  <c r="G172" i="58"/>
  <c r="H60" i="101"/>
  <c r="H62" i="101" s="1"/>
  <c r="H63" i="101" s="1"/>
  <c r="H71" i="101" s="1"/>
  <c r="H74" i="101" s="1"/>
  <c r="G71" i="101"/>
  <c r="G74" i="101" s="1"/>
  <c r="H331" i="101"/>
  <c r="H332" i="101" s="1"/>
  <c r="H129" i="101"/>
  <c r="H131" i="101" s="1"/>
  <c r="H132" i="101" s="1"/>
  <c r="H140" i="101" s="1"/>
  <c r="H143" i="101" s="1"/>
  <c r="G140" i="101"/>
  <c r="G143" i="101" s="1"/>
  <c r="H339" i="101"/>
  <c r="H341" i="101" s="1"/>
  <c r="H342" i="101" s="1"/>
  <c r="H350" i="101" s="1"/>
  <c r="H353" i="101" s="1"/>
  <c r="H202" i="101"/>
  <c r="H210" i="101" s="1"/>
  <c r="H213" i="101" s="1"/>
  <c r="H121" i="101"/>
  <c r="H122" i="101" s="1"/>
  <c r="H269" i="101"/>
  <c r="H271" i="101" s="1"/>
  <c r="H272" i="101" s="1"/>
  <c r="H280" i="101" s="1"/>
  <c r="H283" i="101" s="1"/>
  <c r="G280" i="101"/>
  <c r="G283" i="101" s="1"/>
  <c r="H52" i="101"/>
  <c r="H53" i="101" s="1"/>
  <c r="E173" i="58"/>
  <c r="E172" i="58"/>
  <c r="I173" i="58"/>
  <c r="M172" i="58"/>
  <c r="M173" i="58"/>
  <c r="K173" i="58"/>
  <c r="L173" i="58"/>
  <c r="G173" i="58"/>
  <c r="H173" i="58"/>
  <c r="J173" i="58"/>
  <c r="F173" i="58"/>
  <c r="F172" i="58"/>
  <c r="N173" i="58"/>
  <c r="N172" i="58"/>
  <c r="M103" i="58"/>
  <c r="E103" i="58"/>
  <c r="F103" i="58"/>
  <c r="N103" i="58"/>
  <c r="E65" i="33"/>
  <c r="N31" i="97"/>
  <c r="L74" i="84"/>
  <c r="H49" i="8"/>
  <c r="G49" i="8"/>
  <c r="K43" i="84"/>
  <c r="N43" i="84"/>
  <c r="I58" i="84"/>
  <c r="M58" i="84"/>
  <c r="L43" i="84"/>
  <c r="I74" i="84"/>
  <c r="N58" i="84"/>
  <c r="J58" i="84"/>
  <c r="J43" i="84"/>
  <c r="N74" i="84"/>
  <c r="J74" i="84"/>
  <c r="I43" i="84"/>
  <c r="K58" i="84"/>
  <c r="K74" i="84"/>
  <c r="D44" i="84"/>
  <c r="O44" i="84" s="1"/>
  <c r="M74" i="84"/>
  <c r="J60" i="84"/>
  <c r="L58" i="84"/>
  <c r="J45" i="84"/>
  <c r="J76" i="84"/>
  <c r="M43" i="84"/>
  <c r="D75" i="84"/>
  <c r="O75" i="84" s="1"/>
  <c r="D59" i="84"/>
  <c r="O59" i="84" s="1"/>
  <c r="F43" i="84"/>
  <c r="F74" i="84"/>
  <c r="F58" i="84"/>
  <c r="G74" i="84"/>
  <c r="G43" i="84"/>
  <c r="G58" i="84"/>
  <c r="N49" i="8"/>
  <c r="H58" i="84"/>
  <c r="H74" i="84"/>
  <c r="H43" i="84"/>
  <c r="E74" i="84"/>
  <c r="E58" i="84"/>
  <c r="E43" i="84"/>
  <c r="D82" i="33"/>
  <c r="E7" i="45"/>
  <c r="E9" i="45" s="1"/>
  <c r="E34" i="58"/>
  <c r="E35" i="58"/>
  <c r="E116" i="58" s="1"/>
  <c r="G45" i="84"/>
  <c r="M76" i="84"/>
  <c r="G76" i="84"/>
  <c r="M45" i="84"/>
  <c r="G60" i="84"/>
  <c r="M60" i="84"/>
  <c r="K34" i="58"/>
  <c r="N34" i="58"/>
  <c r="K60" i="84"/>
  <c r="L45" i="84"/>
  <c r="K76" i="84"/>
  <c r="E45" i="84"/>
  <c r="K45" i="84"/>
  <c r="L76" i="84"/>
  <c r="E76" i="84"/>
  <c r="E60" i="84"/>
  <c r="E160" i="59"/>
  <c r="F60" i="84"/>
  <c r="G98" i="58"/>
  <c r="F76" i="84"/>
  <c r="L60" i="84"/>
  <c r="I45" i="84"/>
  <c r="I60" i="84"/>
  <c r="I76" i="84"/>
  <c r="G34" i="58"/>
  <c r="F45" i="84"/>
  <c r="H45" i="84"/>
  <c r="H76" i="84"/>
  <c r="H60" i="84"/>
  <c r="F34" i="58"/>
  <c r="I187" i="8" l="1"/>
  <c r="E187" i="8"/>
  <c r="J6" i="37" s="1"/>
  <c r="G187" i="8"/>
  <c r="J187" i="8"/>
  <c r="F187" i="8"/>
  <c r="K187" i="8"/>
  <c r="I34" i="58"/>
  <c r="H34" i="58"/>
  <c r="J34" i="58"/>
  <c r="M34" i="58"/>
  <c r="E146" i="58" s="1"/>
  <c r="L34" i="58"/>
  <c r="N187" i="8"/>
  <c r="H187" i="8"/>
  <c r="L187" i="8"/>
  <c r="E261" i="8"/>
  <c r="F261" i="8"/>
  <c r="N261" i="8"/>
  <c r="G261" i="8"/>
  <c r="I261" i="8"/>
  <c r="L261" i="8"/>
  <c r="K261" i="8"/>
  <c r="H261" i="8"/>
  <c r="M261" i="8"/>
  <c r="J261" i="8"/>
  <c r="E81" i="57"/>
  <c r="E87" i="57"/>
  <c r="J6" i="40"/>
  <c r="N6" i="36"/>
  <c r="K170" i="58"/>
  <c r="K171" i="58"/>
  <c r="G170" i="58"/>
  <c r="G171" i="58"/>
  <c r="H171" i="58"/>
  <c r="H170" i="58"/>
  <c r="F171" i="58"/>
  <c r="F170" i="58"/>
  <c r="N171" i="58"/>
  <c r="N170" i="58"/>
  <c r="M171" i="58"/>
  <c r="M170" i="58"/>
  <c r="E171" i="58"/>
  <c r="E170" i="58"/>
  <c r="I170" i="58"/>
  <c r="I171" i="58"/>
  <c r="L171" i="58"/>
  <c r="L170" i="58"/>
  <c r="J171" i="58"/>
  <c r="J170" i="58"/>
  <c r="E98" i="58"/>
  <c r="M98" i="58"/>
  <c r="J116" i="84"/>
  <c r="D58" i="84"/>
  <c r="O58" i="84" s="1"/>
  <c r="D74" i="84"/>
  <c r="O74" i="84" s="1"/>
  <c r="J136" i="84"/>
  <c r="J126" i="84"/>
  <c r="D43" i="84"/>
  <c r="O43" i="84" s="1"/>
  <c r="N45" i="84"/>
  <c r="D45" i="84" s="1"/>
  <c r="O45" i="84" s="1"/>
  <c r="N60" i="84"/>
  <c r="D60" i="84" s="1"/>
  <c r="O60" i="84" s="1"/>
  <c r="N76" i="84"/>
  <c r="D76" i="84" s="1"/>
  <c r="O76" i="84" s="1"/>
  <c r="G136" i="84"/>
  <c r="G126" i="84"/>
  <c r="G116" i="84"/>
  <c r="M126" i="84"/>
  <c r="M116" i="84"/>
  <c r="M136" i="84"/>
  <c r="L136" i="84"/>
  <c r="L116" i="84"/>
  <c r="L126" i="84"/>
  <c r="I116" i="84"/>
  <c r="F116" i="84"/>
  <c r="E126" i="84"/>
  <c r="K136" i="84"/>
  <c r="F126" i="84"/>
  <c r="E136" i="84"/>
  <c r="K126" i="84"/>
  <c r="K116" i="84"/>
  <c r="F136" i="84"/>
  <c r="E116" i="84"/>
  <c r="I136" i="84"/>
  <c r="I126" i="84"/>
  <c r="H126" i="84"/>
  <c r="H136" i="84"/>
  <c r="H116" i="84"/>
  <c r="E12" i="45"/>
  <c r="E11" i="45"/>
  <c r="I98" i="58"/>
  <c r="H98" i="58"/>
  <c r="K98" i="58"/>
  <c r="L98" i="58"/>
  <c r="N98" i="58"/>
  <c r="F98" i="58"/>
  <c r="E21" i="73" l="1"/>
  <c r="E24" i="73" s="1"/>
  <c r="N247" i="8" s="1"/>
  <c r="E43" i="73"/>
  <c r="E46" i="73" s="1"/>
  <c r="F249" i="8" s="1"/>
  <c r="E32" i="73"/>
  <c r="E35" i="73" s="1"/>
  <c r="N248" i="8" s="1"/>
  <c r="J6" i="39"/>
  <c r="F55" i="11"/>
  <c r="G55" i="11" s="1"/>
  <c r="E9" i="73"/>
  <c r="E12" i="73" s="1"/>
  <c r="K246" i="8" s="1"/>
  <c r="G249" i="8"/>
  <c r="M146" i="58"/>
  <c r="I146" i="58"/>
  <c r="F146" i="58"/>
  <c r="L146" i="58"/>
  <c r="N146" i="58"/>
  <c r="G146" i="58"/>
  <c r="J146" i="58"/>
  <c r="K146" i="58"/>
  <c r="H146" i="58"/>
  <c r="H257" i="46"/>
  <c r="F257" i="46"/>
  <c r="I257" i="46"/>
  <c r="M257" i="46"/>
  <c r="J257" i="46"/>
  <c r="G257" i="46"/>
  <c r="E257" i="46"/>
  <c r="N257" i="46"/>
  <c r="L257" i="46"/>
  <c r="K257" i="46"/>
  <c r="H40" i="58"/>
  <c r="H117" i="58" s="1"/>
  <c r="H39" i="58"/>
  <c r="D17" i="6"/>
  <c r="F17" i="6" s="1"/>
  <c r="L9" i="37"/>
  <c r="Q9" i="36"/>
  <c r="F42" i="11"/>
  <c r="G42" i="11" s="1"/>
  <c r="J42" i="11" s="1"/>
  <c r="K42" i="11" s="1"/>
  <c r="L9" i="39"/>
  <c r="E92" i="57"/>
  <c r="L258" i="46" s="1"/>
  <c r="K39" i="58"/>
  <c r="K40" i="58"/>
  <c r="K117" i="58" s="1"/>
  <c r="N40" i="58"/>
  <c r="N117" i="58" s="1"/>
  <c r="N39" i="58"/>
  <c r="J247" i="8"/>
  <c r="J40" i="58"/>
  <c r="J117" i="58" s="1"/>
  <c r="J39" i="58"/>
  <c r="L39" i="58"/>
  <c r="L40" i="58"/>
  <c r="L117" i="58" s="1"/>
  <c r="F39" i="58"/>
  <c r="F40" i="58"/>
  <c r="F117" i="58" s="1"/>
  <c r="G40" i="58"/>
  <c r="G117" i="58" s="1"/>
  <c r="G39" i="58"/>
  <c r="G247" i="8"/>
  <c r="M40" i="58"/>
  <c r="M117" i="58" s="1"/>
  <c r="M39" i="58"/>
  <c r="I40" i="58"/>
  <c r="I117" i="58" s="1"/>
  <c r="I39" i="58"/>
  <c r="E320" i="77"/>
  <c r="E336" i="77" s="1"/>
  <c r="E39" i="58"/>
  <c r="E40" i="58"/>
  <c r="E117" i="58" s="1"/>
  <c r="L247" i="8"/>
  <c r="M247" i="8"/>
  <c r="F247" i="8"/>
  <c r="E247" i="8"/>
  <c r="D95" i="33" s="1"/>
  <c r="E51" i="73"/>
  <c r="J248" i="8"/>
  <c r="G248" i="8"/>
  <c r="E249" i="8"/>
  <c r="D103" i="33" s="1"/>
  <c r="M249" i="8"/>
  <c r="L249" i="8"/>
  <c r="J249" i="8"/>
  <c r="N249" i="8"/>
  <c r="M248" i="8"/>
  <c r="I247" i="8"/>
  <c r="I249" i="8"/>
  <c r="H248" i="8"/>
  <c r="H247" i="8"/>
  <c r="K249" i="8"/>
  <c r="K247" i="8"/>
  <c r="H249" i="8"/>
  <c r="K158" i="58"/>
  <c r="E158" i="58"/>
  <c r="F158" i="58"/>
  <c r="J158" i="58"/>
  <c r="M158" i="58"/>
  <c r="H158" i="58"/>
  <c r="I158" i="58"/>
  <c r="P146" i="58"/>
  <c r="I157" i="58" s="1"/>
  <c r="L158" i="58"/>
  <c r="G158" i="58"/>
  <c r="N136" i="84"/>
  <c r="D136" i="84" s="1"/>
  <c r="O136" i="84" s="1"/>
  <c r="N126" i="84"/>
  <c r="D126" i="84" s="1"/>
  <c r="O126" i="84" s="1"/>
  <c r="N116" i="84"/>
  <c r="D116" i="84" s="1"/>
  <c r="O116" i="84" s="1"/>
  <c r="E18" i="45"/>
  <c r="E93" i="45"/>
  <c r="E19" i="45"/>
  <c r="E94" i="45"/>
  <c r="E53" i="73" l="1"/>
  <c r="E54" i="73" s="1"/>
  <c r="E250" i="8" s="1"/>
  <c r="E54" i="54" s="1"/>
  <c r="E119" i="54" s="1"/>
  <c r="E128" i="54" s="1"/>
  <c r="E92" i="54" s="1"/>
  <c r="E260" i="8" s="1"/>
  <c r="K248" i="8"/>
  <c r="E52" i="73"/>
  <c r="L248" i="8"/>
  <c r="E248" i="8"/>
  <c r="D99" i="33" s="1"/>
  <c r="F248" i="8"/>
  <c r="I248" i="8"/>
  <c r="E246" i="8"/>
  <c r="D91" i="33" s="1"/>
  <c r="H246" i="8"/>
  <c r="G246" i="8"/>
  <c r="L246" i="8"/>
  <c r="N246" i="8"/>
  <c r="M246" i="8"/>
  <c r="I246" i="8"/>
  <c r="F246" i="8"/>
  <c r="E50" i="73"/>
  <c r="J246" i="8"/>
  <c r="E258" i="46"/>
  <c r="N41" i="85" s="1"/>
  <c r="H258" i="46"/>
  <c r="H262" i="46" s="1"/>
  <c r="I258" i="46"/>
  <c r="I262" i="46" s="1"/>
  <c r="F258" i="46"/>
  <c r="F262" i="46" s="1"/>
  <c r="M258" i="46"/>
  <c r="M262" i="46" s="1"/>
  <c r="N258" i="46"/>
  <c r="N262" i="46" s="1"/>
  <c r="G258" i="46"/>
  <c r="G262" i="46" s="1"/>
  <c r="J258" i="46"/>
  <c r="J262" i="46" s="1"/>
  <c r="K258" i="46"/>
  <c r="K262" i="46" s="1"/>
  <c r="E93" i="57"/>
  <c r="E147" i="58"/>
  <c r="G99" i="58"/>
  <c r="G129" i="58"/>
  <c r="N147" i="58"/>
  <c r="M99" i="58"/>
  <c r="M129" i="58"/>
  <c r="F99" i="58"/>
  <c r="F129" i="58"/>
  <c r="J147" i="58"/>
  <c r="N99" i="58"/>
  <c r="N129" i="58"/>
  <c r="N40" i="85"/>
  <c r="I147" i="58"/>
  <c r="F147" i="58"/>
  <c r="J99" i="58"/>
  <c r="J129" i="58"/>
  <c r="K99" i="58"/>
  <c r="K129" i="58"/>
  <c r="M147" i="58"/>
  <c r="L147" i="58"/>
  <c r="H99" i="58"/>
  <c r="H129" i="58"/>
  <c r="E99" i="58"/>
  <c r="E129" i="58"/>
  <c r="I99" i="58"/>
  <c r="I129" i="58"/>
  <c r="G147" i="58"/>
  <c r="L99" i="58"/>
  <c r="L129" i="58"/>
  <c r="K147" i="58"/>
  <c r="H147" i="58"/>
  <c r="L262" i="46"/>
  <c r="F157" i="58"/>
  <c r="E157" i="58"/>
  <c r="L157" i="58"/>
  <c r="G157" i="58"/>
  <c r="M157" i="58"/>
  <c r="N157" i="58"/>
  <c r="K157" i="58"/>
  <c r="H157" i="58"/>
  <c r="J157" i="58"/>
  <c r="D34" i="33"/>
  <c r="E23" i="45"/>
  <c r="E98" i="45"/>
  <c r="D33" i="33"/>
  <c r="N43" i="85" l="1"/>
  <c r="E262" i="46"/>
  <c r="N250" i="8"/>
  <c r="N54" i="54" s="1"/>
  <c r="N119" i="54" s="1"/>
  <c r="N128" i="54" s="1"/>
  <c r="N108" i="54" s="1"/>
  <c r="J250" i="8"/>
  <c r="J54" i="54" s="1"/>
  <c r="J119" i="54" s="1"/>
  <c r="J101" i="54" s="1"/>
  <c r="M250" i="8"/>
  <c r="M54" i="54" s="1"/>
  <c r="M119" i="54" s="1"/>
  <c r="M101" i="54" s="1"/>
  <c r="E108" i="54"/>
  <c r="H250" i="8"/>
  <c r="H54" i="54" s="1"/>
  <c r="H119" i="54" s="1"/>
  <c r="H128" i="54" s="1"/>
  <c r="F250" i="8"/>
  <c r="F54" i="54" s="1"/>
  <c r="F119" i="54" s="1"/>
  <c r="F101" i="54" s="1"/>
  <c r="I250" i="8"/>
  <c r="I54" i="54" s="1"/>
  <c r="I119" i="54" s="1"/>
  <c r="I101" i="54" s="1"/>
  <c r="G250" i="8"/>
  <c r="G54" i="54" s="1"/>
  <c r="G119" i="54" s="1"/>
  <c r="G128" i="54" s="1"/>
  <c r="G92" i="54" s="1"/>
  <c r="G260" i="8" s="1"/>
  <c r="K250" i="8"/>
  <c r="K54" i="54" s="1"/>
  <c r="K119" i="54" s="1"/>
  <c r="K101" i="54" s="1"/>
  <c r="L250" i="8"/>
  <c r="L54" i="54" s="1"/>
  <c r="L119" i="54" s="1"/>
  <c r="L128" i="54" s="1"/>
  <c r="L108" i="54" s="1"/>
  <c r="E101" i="54"/>
  <c r="F93" i="58"/>
  <c r="F11" i="8" s="1"/>
  <c r="F109" i="58"/>
  <c r="I93" i="58"/>
  <c r="I11" i="8" s="1"/>
  <c r="I109" i="58"/>
  <c r="K93" i="58"/>
  <c r="K11" i="8" s="1"/>
  <c r="K109" i="58"/>
  <c r="N109" i="58"/>
  <c r="N93" i="58"/>
  <c r="N11" i="8" s="1"/>
  <c r="L93" i="58"/>
  <c r="L11" i="8" s="1"/>
  <c r="L109" i="58"/>
  <c r="H109" i="58"/>
  <c r="H93" i="58"/>
  <c r="H11" i="8" s="1"/>
  <c r="P147" i="58"/>
  <c r="N158" i="58" s="1"/>
  <c r="M93" i="58"/>
  <c r="M11" i="8" s="1"/>
  <c r="M109" i="58"/>
  <c r="G109" i="58"/>
  <c r="G93" i="58"/>
  <c r="G11" i="8" s="1"/>
  <c r="E109" i="58"/>
  <c r="E93" i="58"/>
  <c r="E11" i="8" s="1"/>
  <c r="J93" i="58"/>
  <c r="J11" i="8" s="1"/>
  <c r="J109" i="58"/>
  <c r="J9" i="37"/>
  <c r="J9" i="39"/>
  <c r="N9" i="36"/>
  <c r="J9" i="40"/>
  <c r="E94" i="102"/>
  <c r="E98" i="102" s="1"/>
  <c r="E55" i="102"/>
  <c r="E59" i="102" s="1"/>
  <c r="E74" i="102"/>
  <c r="E78" i="102" s="1"/>
  <c r="E36" i="102"/>
  <c r="E40" i="102" s="1"/>
  <c r="E17" i="102"/>
  <c r="E21" i="102" s="1"/>
  <c r="E133" i="97"/>
  <c r="G170" i="8"/>
  <c r="J169" i="8"/>
  <c r="J15" i="46"/>
  <c r="G169" i="8"/>
  <c r="G15" i="46"/>
  <c r="M169" i="8"/>
  <c r="M15" i="46"/>
  <c r="E169" i="8"/>
  <c r="E15" i="46"/>
  <c r="E74" i="45"/>
  <c r="E24" i="46" s="1"/>
  <c r="E40" i="77" s="1"/>
  <c r="E319" i="77"/>
  <c r="F70" i="11"/>
  <c r="F41" i="11"/>
  <c r="E170" i="8"/>
  <c r="E44" i="46"/>
  <c r="E147" i="45"/>
  <c r="E53" i="46" s="1"/>
  <c r="E86" i="77" s="1"/>
  <c r="J170" i="8"/>
  <c r="J44" i="46"/>
  <c r="H101" i="54" l="1"/>
  <c r="N92" i="54"/>
  <c r="N260" i="8" s="1"/>
  <c r="N36" i="102" s="1"/>
  <c r="N40" i="102" s="1"/>
  <c r="I128" i="54"/>
  <c r="I92" i="54" s="1"/>
  <c r="I260" i="8" s="1"/>
  <c r="G108" i="54"/>
  <c r="M128" i="54"/>
  <c r="M108" i="54" s="1"/>
  <c r="N101" i="54"/>
  <c r="L101" i="54"/>
  <c r="L92" i="54"/>
  <c r="L260" i="8" s="1"/>
  <c r="L55" i="102" s="1"/>
  <c r="L59" i="102" s="1"/>
  <c r="F128" i="54"/>
  <c r="F92" i="54" s="1"/>
  <c r="F260" i="8" s="1"/>
  <c r="F74" i="102" s="1"/>
  <c r="F78" i="102" s="1"/>
  <c r="G101" i="54"/>
  <c r="J128" i="54"/>
  <c r="J92" i="54" s="1"/>
  <c r="J260" i="8" s="1"/>
  <c r="J94" i="102" s="1"/>
  <c r="J98" i="102" s="1"/>
  <c r="K128" i="54"/>
  <c r="K108" i="54" s="1"/>
  <c r="N140" i="97"/>
  <c r="N34" i="55"/>
  <c r="N115" i="55" s="1"/>
  <c r="I140" i="97"/>
  <c r="I34" i="55"/>
  <c r="I115" i="55" s="1"/>
  <c r="J140" i="97"/>
  <c r="J34" i="55"/>
  <c r="J115" i="55" s="1"/>
  <c r="G140" i="97"/>
  <c r="G34" i="55"/>
  <c r="G115" i="55" s="1"/>
  <c r="L140" i="97"/>
  <c r="L34" i="55"/>
  <c r="L115" i="55" s="1"/>
  <c r="M140" i="97"/>
  <c r="M34" i="55"/>
  <c r="M115" i="55" s="1"/>
  <c r="E140" i="97"/>
  <c r="E34" i="55"/>
  <c r="E115" i="55" s="1"/>
  <c r="H140" i="97"/>
  <c r="H34" i="55"/>
  <c r="H115" i="55" s="1"/>
  <c r="K140" i="97"/>
  <c r="K34" i="55"/>
  <c r="K115" i="55" s="1"/>
  <c r="F34" i="55"/>
  <c r="F115" i="55" s="1"/>
  <c r="F140" i="97"/>
  <c r="M24" i="46"/>
  <c r="M53" i="46"/>
  <c r="J53" i="46"/>
  <c r="J24" i="46"/>
  <c r="G24" i="46"/>
  <c r="N133" i="97"/>
  <c r="H108" i="54"/>
  <c r="H92" i="54"/>
  <c r="H260" i="8" s="1"/>
  <c r="M44" i="46"/>
  <c r="N94" i="102"/>
  <c r="N98" i="102" s="1"/>
  <c r="M170" i="8"/>
  <c r="G36" i="102"/>
  <c r="G40" i="102" s="1"/>
  <c r="G17" i="102"/>
  <c r="G21" i="102" s="1"/>
  <c r="G74" i="102"/>
  <c r="G78" i="102" s="1"/>
  <c r="G94" i="102"/>
  <c r="G98" i="102" s="1"/>
  <c r="G55" i="102"/>
  <c r="G59" i="102" s="1"/>
  <c r="G41" i="11"/>
  <c r="J41" i="11" s="1"/>
  <c r="K41" i="11" s="1"/>
  <c r="G70" i="11"/>
  <c r="J70" i="11" s="1"/>
  <c r="K70" i="11" s="1"/>
  <c r="G53" i="46"/>
  <c r="G133" i="97"/>
  <c r="G44" i="46"/>
  <c r="N169" i="8"/>
  <c r="N15" i="46"/>
  <c r="N24" i="46"/>
  <c r="I169" i="8"/>
  <c r="I15" i="46"/>
  <c r="I24" i="46"/>
  <c r="K169" i="8"/>
  <c r="K15" i="46"/>
  <c r="K24" i="46"/>
  <c r="K170" i="8"/>
  <c r="K44" i="46"/>
  <c r="K53" i="46"/>
  <c r="H169" i="8"/>
  <c r="H15" i="46"/>
  <c r="H24" i="46"/>
  <c r="L169" i="8"/>
  <c r="L15" i="46"/>
  <c r="L24" i="46"/>
  <c r="E85" i="77"/>
  <c r="E87" i="77" s="1"/>
  <c r="L170" i="8"/>
  <c r="L44" i="46"/>
  <c r="L53" i="46"/>
  <c r="H170" i="8"/>
  <c r="H53" i="46"/>
  <c r="H44" i="46"/>
  <c r="N170" i="8"/>
  <c r="N44" i="46"/>
  <c r="D14" i="33" s="1"/>
  <c r="N53" i="46"/>
  <c r="D42" i="33"/>
  <c r="E130" i="77"/>
  <c r="E132" i="77" s="1"/>
  <c r="E136" i="77" s="1"/>
  <c r="I170" i="8"/>
  <c r="I44" i="46"/>
  <c r="I53" i="46"/>
  <c r="D6" i="33"/>
  <c r="E39" i="77"/>
  <c r="F169" i="8"/>
  <c r="F15" i="46"/>
  <c r="F24" i="46"/>
  <c r="F170" i="8"/>
  <c r="F44" i="46"/>
  <c r="F53" i="46"/>
  <c r="N74" i="102" l="1"/>
  <c r="N78" i="102" s="1"/>
  <c r="N193" i="8" s="1"/>
  <c r="J133" i="97"/>
  <c r="J55" i="102"/>
  <c r="J59" i="102" s="1"/>
  <c r="I108" i="54"/>
  <c r="N17" i="102"/>
  <c r="N21" i="102" s="1"/>
  <c r="N190" i="8" s="1"/>
  <c r="N55" i="102"/>
  <c r="N59" i="102" s="1"/>
  <c r="N192" i="8" s="1"/>
  <c r="F17" i="102"/>
  <c r="F21" i="102" s="1"/>
  <c r="F190" i="8" s="1"/>
  <c r="F55" i="102"/>
  <c r="F59" i="102" s="1"/>
  <c r="F192" i="8" s="1"/>
  <c r="F36" i="102"/>
  <c r="F40" i="102" s="1"/>
  <c r="F191" i="8" s="1"/>
  <c r="F54" i="97" s="1"/>
  <c r="J36" i="102"/>
  <c r="J40" i="102" s="1"/>
  <c r="J191" i="8" s="1"/>
  <c r="J54" i="97" s="1"/>
  <c r="J17" i="102"/>
  <c r="J21" i="102" s="1"/>
  <c r="J190" i="8" s="1"/>
  <c r="M92" i="54"/>
  <c r="M260" i="8" s="1"/>
  <c r="M36" i="102" s="1"/>
  <c r="M40" i="102" s="1"/>
  <c r="K92" i="54"/>
  <c r="K260" i="8" s="1"/>
  <c r="K94" i="102" s="1"/>
  <c r="L133" i="97"/>
  <c r="F133" i="97"/>
  <c r="F94" i="102"/>
  <c r="F98" i="102" s="1"/>
  <c r="F194" i="8" s="1"/>
  <c r="J74" i="102"/>
  <c r="J78" i="102" s="1"/>
  <c r="L36" i="102"/>
  <c r="L40" i="102" s="1"/>
  <c r="L191" i="8" s="1"/>
  <c r="L54" i="97" s="1"/>
  <c r="L17" i="102"/>
  <c r="L21" i="102" s="1"/>
  <c r="L190" i="8" s="1"/>
  <c r="F108" i="54"/>
  <c r="L94" i="102"/>
  <c r="L98" i="102" s="1"/>
  <c r="L194" i="8" s="1"/>
  <c r="L74" i="102"/>
  <c r="L78" i="102" s="1"/>
  <c r="L193" i="8" s="1"/>
  <c r="J108" i="54"/>
  <c r="K97" i="55"/>
  <c r="K128" i="55"/>
  <c r="E97" i="55"/>
  <c r="E128" i="55"/>
  <c r="I97" i="55"/>
  <c r="I128" i="55"/>
  <c r="L97" i="55"/>
  <c r="L128" i="55"/>
  <c r="J97" i="55"/>
  <c r="J128" i="55"/>
  <c r="H128" i="55"/>
  <c r="H97" i="55"/>
  <c r="N97" i="55"/>
  <c r="N128" i="55"/>
  <c r="F128" i="55"/>
  <c r="F97" i="55"/>
  <c r="M97" i="55"/>
  <c r="M128" i="55"/>
  <c r="G97" i="55"/>
  <c r="G128" i="55"/>
  <c r="I17" i="102"/>
  <c r="I74" i="102"/>
  <c r="I133" i="97"/>
  <c r="I36" i="102"/>
  <c r="I55" i="102"/>
  <c r="I94" i="102"/>
  <c r="H17" i="102"/>
  <c r="H133" i="97"/>
  <c r="H55" i="102"/>
  <c r="H36" i="102"/>
  <c r="H74" i="102"/>
  <c r="H94" i="102"/>
  <c r="E22" i="45"/>
  <c r="N147" i="8" s="1"/>
  <c r="E192" i="8"/>
  <c r="E169" i="45"/>
  <c r="E155" i="8" s="1"/>
  <c r="N194" i="8"/>
  <c r="N191" i="8"/>
  <c r="N54" i="97" s="1"/>
  <c r="E193" i="8"/>
  <c r="E232" i="45"/>
  <c r="E159" i="8" s="1"/>
  <c r="J194" i="8"/>
  <c r="E190" i="8"/>
  <c r="E191" i="8"/>
  <c r="E54" i="97" s="1"/>
  <c r="E97" i="45"/>
  <c r="E151" i="8" s="1"/>
  <c r="E194" i="8"/>
  <c r="E291" i="45"/>
  <c r="E163" i="8" s="1"/>
  <c r="L192" i="8"/>
  <c r="K36" i="102" l="1"/>
  <c r="K40" i="102" s="1"/>
  <c r="K133" i="97"/>
  <c r="K17" i="102"/>
  <c r="K55" i="102"/>
  <c r="K59" i="102" s="1"/>
  <c r="K74" i="102"/>
  <c r="K78" i="102" s="1"/>
  <c r="M17" i="102"/>
  <c r="M21" i="102" s="1"/>
  <c r="M190" i="8" s="1"/>
  <c r="M36" i="97" s="1"/>
  <c r="M133" i="97"/>
  <c r="M94" i="102"/>
  <c r="M98" i="102" s="1"/>
  <c r="M194" i="8" s="1"/>
  <c r="M55" i="102"/>
  <c r="M59" i="102" s="1"/>
  <c r="M192" i="8" s="1"/>
  <c r="M74" i="102"/>
  <c r="M78" i="102" s="1"/>
  <c r="M193" i="8" s="1"/>
  <c r="N155" i="8"/>
  <c r="G92" i="55"/>
  <c r="G259" i="8" s="1"/>
  <c r="G147" i="97" s="1"/>
  <c r="G108" i="55"/>
  <c r="L92" i="55"/>
  <c r="L259" i="8" s="1"/>
  <c r="L147" i="97" s="1"/>
  <c r="L108" i="55"/>
  <c r="E92" i="55"/>
  <c r="E259" i="8" s="1"/>
  <c r="E108" i="55"/>
  <c r="F108" i="55"/>
  <c r="F92" i="55"/>
  <c r="F259" i="8" s="1"/>
  <c r="F147" i="97" s="1"/>
  <c r="H92" i="55"/>
  <c r="H259" i="8" s="1"/>
  <c r="H147" i="97" s="1"/>
  <c r="H108" i="55"/>
  <c r="M108" i="55"/>
  <c r="M92" i="55"/>
  <c r="M259" i="8" s="1"/>
  <c r="M147" i="97" s="1"/>
  <c r="N108" i="55"/>
  <c r="N92" i="55"/>
  <c r="N259" i="8" s="1"/>
  <c r="N147" i="97" s="1"/>
  <c r="J92" i="55"/>
  <c r="J259" i="8" s="1"/>
  <c r="J147" i="97" s="1"/>
  <c r="J108" i="55"/>
  <c r="I92" i="55"/>
  <c r="I259" i="8" s="1"/>
  <c r="I147" i="97" s="1"/>
  <c r="I108" i="55"/>
  <c r="K108" i="55"/>
  <c r="K92" i="55"/>
  <c r="K259" i="8" s="1"/>
  <c r="K147" i="97" s="1"/>
  <c r="L147" i="8"/>
  <c r="N159" i="8"/>
  <c r="J147" i="8"/>
  <c r="F155" i="8"/>
  <c r="L155" i="8"/>
  <c r="N151" i="8"/>
  <c r="F163" i="8"/>
  <c r="J151" i="8"/>
  <c r="J163" i="8"/>
  <c r="L151" i="8"/>
  <c r="L159" i="8"/>
  <c r="N163" i="8"/>
  <c r="L163" i="8"/>
  <c r="I98" i="102"/>
  <c r="I78" i="102"/>
  <c r="I40" i="102"/>
  <c r="E335" i="77"/>
  <c r="I59" i="102"/>
  <c r="I21" i="102"/>
  <c r="K21" i="102"/>
  <c r="K98" i="102"/>
  <c r="H98" i="102"/>
  <c r="H40" i="102"/>
  <c r="H78" i="102"/>
  <c r="H59" i="102"/>
  <c r="H21" i="102"/>
  <c r="J159" i="8"/>
  <c r="J193" i="8"/>
  <c r="E88" i="97"/>
  <c r="N88" i="97"/>
  <c r="L88" i="97"/>
  <c r="J192" i="8"/>
  <c r="J71" i="97" s="1"/>
  <c r="J155" i="8"/>
  <c r="N36" i="97"/>
  <c r="E36" i="97"/>
  <c r="L36" i="97"/>
  <c r="J36" i="97"/>
  <c r="F36" i="97"/>
  <c r="F71" i="97"/>
  <c r="F147" i="8"/>
  <c r="N71" i="97"/>
  <c r="L71" i="97"/>
  <c r="E71" i="97"/>
  <c r="G147" i="8"/>
  <c r="M147" i="8"/>
  <c r="F193" i="8"/>
  <c r="M191" i="8"/>
  <c r="M54" i="97" s="1"/>
  <c r="N105" i="97"/>
  <c r="F105" i="97"/>
  <c r="L105" i="97"/>
  <c r="J105" i="97"/>
  <c r="E105" i="97"/>
  <c r="E184" i="77"/>
  <c r="F81" i="84"/>
  <c r="F65" i="84"/>
  <c r="F50" i="84"/>
  <c r="G190" i="8"/>
  <c r="E108" i="84"/>
  <c r="E95" i="84"/>
  <c r="E156" i="77"/>
  <c r="E69" i="77"/>
  <c r="L108" i="84"/>
  <c r="L95" i="84"/>
  <c r="G193" i="8"/>
  <c r="G159" i="8"/>
  <c r="E114" i="77"/>
  <c r="L81" i="84"/>
  <c r="L65" i="84"/>
  <c r="L50" i="84"/>
  <c r="G192" i="8"/>
  <c r="G155" i="8"/>
  <c r="N108" i="84"/>
  <c r="N95" i="84"/>
  <c r="G191" i="8"/>
  <c r="G54" i="97" s="1"/>
  <c r="G151" i="8"/>
  <c r="J81" i="84"/>
  <c r="J65" i="84"/>
  <c r="J50" i="84"/>
  <c r="N81" i="84"/>
  <c r="N65" i="84"/>
  <c r="N50" i="84"/>
  <c r="E81" i="84"/>
  <c r="E65" i="84"/>
  <c r="E50" i="84"/>
  <c r="E24" i="77"/>
  <c r="G194" i="8"/>
  <c r="G163" i="8"/>
  <c r="M50" i="84" l="1"/>
  <c r="M65" i="84"/>
  <c r="M81" i="84"/>
  <c r="H9" i="37"/>
  <c r="H9" i="40"/>
  <c r="F69" i="11"/>
  <c r="G69" i="11" s="1"/>
  <c r="J69" i="11" s="1"/>
  <c r="K69" i="11" s="1"/>
  <c r="E15" i="11" s="1"/>
  <c r="H9" i="39"/>
  <c r="F40" i="11"/>
  <c r="G40" i="11" s="1"/>
  <c r="J40" i="11" s="1"/>
  <c r="K40" i="11" s="1"/>
  <c r="E9" i="11" s="1"/>
  <c r="K9" i="36"/>
  <c r="E147" i="97"/>
  <c r="E318" i="77"/>
  <c r="E334" i="77" s="1"/>
  <c r="I190" i="8"/>
  <c r="I193" i="8"/>
  <c r="I191" i="8"/>
  <c r="I194" i="8"/>
  <c r="I192" i="8"/>
  <c r="K191" i="8"/>
  <c r="K190" i="8"/>
  <c r="K193" i="8"/>
  <c r="K194" i="8"/>
  <c r="K192" i="8"/>
  <c r="H190" i="8"/>
  <c r="H193" i="8"/>
  <c r="H191" i="8"/>
  <c r="H192" i="8"/>
  <c r="H194" i="8"/>
  <c r="J95" i="84"/>
  <c r="J88" i="97"/>
  <c r="J108" i="84"/>
  <c r="M159" i="8"/>
  <c r="F159" i="8"/>
  <c r="M163" i="8"/>
  <c r="M151" i="8"/>
  <c r="F151" i="8"/>
  <c r="M155" i="8"/>
  <c r="G88" i="97"/>
  <c r="F88" i="97"/>
  <c r="M88" i="97"/>
  <c r="M71" i="97"/>
  <c r="M95" i="84"/>
  <c r="M105" i="97"/>
  <c r="M108" i="84"/>
  <c r="G36" i="97"/>
  <c r="F108" i="84"/>
  <c r="F95" i="84"/>
  <c r="G105" i="97"/>
  <c r="G71" i="97"/>
  <c r="G108" i="84"/>
  <c r="G95" i="84"/>
  <c r="G81" i="84"/>
  <c r="G65" i="84"/>
  <c r="G50" i="84"/>
  <c r="I71" i="97" l="1"/>
  <c r="I50" i="84"/>
  <c r="I36" i="97"/>
  <c r="I81" i="84"/>
  <c r="I65" i="84"/>
  <c r="I105" i="97"/>
  <c r="I54" i="97"/>
  <c r="I95" i="84"/>
  <c r="I108" i="84"/>
  <c r="I88" i="97"/>
  <c r="K108" i="84"/>
  <c r="K95" i="84"/>
  <c r="K88" i="97"/>
  <c r="K71" i="97"/>
  <c r="K105" i="97"/>
  <c r="K50" i="84"/>
  <c r="K36" i="97"/>
  <c r="K81" i="84"/>
  <c r="K65" i="84"/>
  <c r="K54" i="97"/>
  <c r="H105" i="97"/>
  <c r="H71" i="97"/>
  <c r="H108" i="84"/>
  <c r="H95" i="84"/>
  <c r="H88" i="97"/>
  <c r="H36" i="97"/>
  <c r="H65" i="84"/>
  <c r="H50" i="84"/>
  <c r="H81" i="84"/>
  <c r="H54" i="97"/>
  <c r="F94" i="46"/>
  <c r="N94" i="46"/>
  <c r="L94" i="46"/>
  <c r="F67" i="46"/>
  <c r="E37" i="46"/>
  <c r="E105" i="45"/>
  <c r="E212" i="8" s="1"/>
  <c r="E67" i="46"/>
  <c r="E94" i="46"/>
  <c r="E237" i="45"/>
  <c r="E216" i="8" s="1"/>
  <c r="E122" i="46"/>
  <c r="E296" i="45"/>
  <c r="E220" i="8" s="1"/>
  <c r="M122" i="46"/>
  <c r="F122" i="46"/>
  <c r="J94" i="46"/>
  <c r="J122" i="46"/>
  <c r="N122" i="46"/>
  <c r="M94" i="46"/>
  <c r="L122" i="46"/>
  <c r="D108" i="84" l="1"/>
  <c r="O108" i="84" s="1"/>
  <c r="O93" i="102" s="1"/>
  <c r="O98" i="102" s="1"/>
  <c r="F220" i="8"/>
  <c r="F212" i="8"/>
  <c r="D81" i="84"/>
  <c r="O81" i="84" s="1"/>
  <c r="O54" i="102" s="1"/>
  <c r="O59" i="102" s="1"/>
  <c r="D65" i="84"/>
  <c r="O65" i="84" s="1"/>
  <c r="O35" i="102" s="1"/>
  <c r="O40" i="102" s="1"/>
  <c r="I155" i="8"/>
  <c r="D50" i="84"/>
  <c r="O50" i="84" s="1"/>
  <c r="O16" i="102" s="1"/>
  <c r="O21" i="102" s="1"/>
  <c r="D95" i="84"/>
  <c r="O95" i="84" s="1"/>
  <c r="O73" i="102" s="1"/>
  <c r="O78" i="102" s="1"/>
  <c r="I147" i="8"/>
  <c r="I151" i="8"/>
  <c r="K147" i="8"/>
  <c r="K151" i="8"/>
  <c r="K155" i="8"/>
  <c r="H147" i="8"/>
  <c r="F37" i="46"/>
  <c r="F216" i="8"/>
  <c r="M100" i="46"/>
  <c r="N220" i="8"/>
  <c r="M128" i="46"/>
  <c r="E100" i="46"/>
  <c r="E276" i="45"/>
  <c r="N37" i="46"/>
  <c r="J67" i="46"/>
  <c r="G94" i="46"/>
  <c r="L100" i="46"/>
  <c r="N216" i="8"/>
  <c r="L67" i="46"/>
  <c r="M67" i="46"/>
  <c r="L220" i="8"/>
  <c r="N128" i="46"/>
  <c r="J220" i="8"/>
  <c r="J216" i="8"/>
  <c r="N67" i="46"/>
  <c r="G37" i="46"/>
  <c r="G212" i="8"/>
  <c r="G122" i="46"/>
  <c r="G220" i="8"/>
  <c r="M216" i="8"/>
  <c r="J128" i="46"/>
  <c r="F128" i="46"/>
  <c r="G67" i="46"/>
  <c r="F100" i="46"/>
  <c r="M220" i="8"/>
  <c r="E73" i="46"/>
  <c r="E218" i="45"/>
  <c r="E43" i="46"/>
  <c r="E151" i="45"/>
  <c r="L216" i="8"/>
  <c r="N100" i="46"/>
  <c r="L128" i="46"/>
  <c r="J37" i="46"/>
  <c r="J100" i="46"/>
  <c r="M37" i="46"/>
  <c r="E128" i="46"/>
  <c r="E335" i="45"/>
  <c r="F73" i="46"/>
  <c r="L37" i="46"/>
  <c r="I37" i="46" l="1"/>
  <c r="I43" i="46" s="1"/>
  <c r="K37" i="46"/>
  <c r="K43" i="46" s="1"/>
  <c r="K67" i="46"/>
  <c r="K73" i="46" s="1"/>
  <c r="I67" i="46"/>
  <c r="I159" i="8"/>
  <c r="I216" i="8"/>
  <c r="I94" i="46"/>
  <c r="I163" i="8"/>
  <c r="I220" i="8"/>
  <c r="I122" i="46"/>
  <c r="K163" i="8"/>
  <c r="K122" i="46"/>
  <c r="K220" i="8"/>
  <c r="K159" i="8"/>
  <c r="K94" i="46"/>
  <c r="K216" i="8"/>
  <c r="H159" i="8"/>
  <c r="H216" i="8"/>
  <c r="H94" i="46"/>
  <c r="H163" i="8"/>
  <c r="H220" i="8"/>
  <c r="H122" i="46"/>
  <c r="H155" i="8"/>
  <c r="H67" i="46"/>
  <c r="H151" i="8"/>
  <c r="H212" i="8"/>
  <c r="H37" i="46"/>
  <c r="F43" i="46"/>
  <c r="G73" i="46"/>
  <c r="L73" i="46"/>
  <c r="L212" i="8"/>
  <c r="E15" i="33"/>
  <c r="J212" i="8"/>
  <c r="G128" i="46"/>
  <c r="M73" i="46"/>
  <c r="G216" i="8"/>
  <c r="J73" i="46"/>
  <c r="E7" i="33"/>
  <c r="L43" i="46"/>
  <c r="I73" i="46"/>
  <c r="I212" i="8"/>
  <c r="N212" i="8"/>
  <c r="M43" i="46"/>
  <c r="N73" i="46"/>
  <c r="D43" i="33" s="1"/>
  <c r="G100" i="46"/>
  <c r="J43" i="46"/>
  <c r="G43" i="46"/>
  <c r="M212" i="8"/>
  <c r="K212" i="8"/>
  <c r="N43" i="46"/>
  <c r="D15" i="33" s="1"/>
  <c r="I100" i="46" l="1"/>
  <c r="I128" i="46"/>
  <c r="K100" i="46"/>
  <c r="K128" i="46"/>
  <c r="H73" i="46"/>
  <c r="H43" i="46"/>
  <c r="H100" i="46"/>
  <c r="H128" i="46"/>
  <c r="J55" i="11" l="1"/>
  <c r="K55" i="11" s="1"/>
  <c r="J57" i="11" l="1"/>
  <c r="K57" i="11" s="1"/>
  <c r="E124" i="59" l="1"/>
  <c r="M124" i="84" l="1"/>
  <c r="N41" i="84"/>
  <c r="N114" i="84"/>
  <c r="N88" i="84"/>
  <c r="M114" i="84"/>
  <c r="M72" i="84"/>
  <c r="N124" i="84"/>
  <c r="M56" i="84"/>
  <c r="M88" i="84"/>
  <c r="N56" i="84"/>
  <c r="N101" i="84"/>
  <c r="M41" i="84"/>
  <c r="M134" i="84"/>
  <c r="M101" i="84"/>
  <c r="N134" i="84"/>
  <c r="N72" i="84"/>
  <c r="J41" i="84"/>
  <c r="L114" i="84"/>
  <c r="K114" i="84"/>
  <c r="J114" i="84"/>
  <c r="K124" i="84"/>
  <c r="I114" i="84"/>
  <c r="K56" i="84"/>
  <c r="K41" i="84"/>
  <c r="I124" i="84"/>
  <c r="I56" i="84"/>
  <c r="F101" i="84"/>
  <c r="F56" i="84"/>
  <c r="H56" i="84"/>
  <c r="H41" i="84"/>
  <c r="G41" i="84"/>
  <c r="G88" i="84"/>
  <c r="L41" i="84"/>
  <c r="L124" i="84"/>
  <c r="F41" i="84"/>
  <c r="H124" i="84"/>
  <c r="G56" i="84"/>
  <c r="J56" i="84"/>
  <c r="L56" i="84"/>
  <c r="L72" i="84"/>
  <c r="F134" i="84"/>
  <c r="G124" i="84"/>
  <c r="J134" i="84"/>
  <c r="J101" i="84"/>
  <c r="K101" i="84"/>
  <c r="K88" i="84"/>
  <c r="L134" i="84"/>
  <c r="I88" i="84"/>
  <c r="I72" i="84"/>
  <c r="F124" i="84"/>
  <c r="F72" i="84"/>
  <c r="H114" i="84"/>
  <c r="H72" i="84"/>
  <c r="G101" i="84"/>
  <c r="G114" i="84"/>
  <c r="I134" i="84"/>
  <c r="F88" i="84"/>
  <c r="H88" i="84"/>
  <c r="G134" i="84"/>
  <c r="L88" i="84"/>
  <c r="K72" i="84"/>
  <c r="I41" i="84"/>
  <c r="F114" i="84"/>
  <c r="H134" i="84"/>
  <c r="G72" i="84"/>
  <c r="L101" i="84"/>
  <c r="K134" i="84"/>
  <c r="J88" i="84"/>
  <c r="J124" i="84"/>
  <c r="J72" i="84"/>
  <c r="I101" i="84"/>
  <c r="H101" i="84"/>
  <c r="E61" i="33"/>
  <c r="E134" i="84"/>
  <c r="E56" i="84"/>
  <c r="E41" i="84"/>
  <c r="E88" i="84"/>
  <c r="E124" i="84"/>
  <c r="E101" i="84"/>
  <c r="E114" i="84"/>
  <c r="E72" i="84"/>
  <c r="D114" i="84" l="1"/>
  <c r="O114" i="84" s="1"/>
  <c r="D41" i="84"/>
  <c r="O41" i="84" s="1"/>
  <c r="D124" i="84"/>
  <c r="O124" i="84" s="1"/>
  <c r="D72" i="84"/>
  <c r="O72" i="84" s="1"/>
  <c r="D101" i="84"/>
  <c r="O101" i="84" s="1"/>
  <c r="D56" i="84"/>
  <c r="O56" i="84" s="1"/>
  <c r="D134" i="84"/>
  <c r="O134" i="84" s="1"/>
  <c r="D88" i="84"/>
  <c r="O88" i="84" s="1"/>
  <c r="E60" i="33"/>
  <c r="E62" i="33"/>
  <c r="O43" i="97" l="1"/>
  <c r="O61" i="97"/>
  <c r="H18" i="8" l="1"/>
  <c r="K18" i="8"/>
  <c r="L18" i="8"/>
  <c r="G18" i="8"/>
  <c r="E18" i="8"/>
  <c r="M18" i="8"/>
  <c r="F18" i="8"/>
  <c r="J18" i="8"/>
  <c r="I18" i="8"/>
  <c r="N18" i="8"/>
  <c r="G17" i="8"/>
  <c r="K17" i="8"/>
  <c r="N17" i="8"/>
  <c r="F17" i="8"/>
  <c r="H17" i="8"/>
  <c r="M17" i="8"/>
  <c r="I17" i="8"/>
  <c r="O26" i="97"/>
  <c r="E10" i="68"/>
  <c r="E14" i="68" s="1"/>
  <c r="E96" i="45"/>
  <c r="E150" i="8" s="1"/>
  <c r="E168" i="45"/>
  <c r="J150" i="8" l="1"/>
  <c r="J152" i="8" s="1"/>
  <c r="H150" i="8"/>
  <c r="H152" i="8" s="1"/>
  <c r="N150" i="8"/>
  <c r="N152" i="8" s="1"/>
  <c r="L150" i="8"/>
  <c r="L152" i="8" s="1"/>
  <c r="K150" i="8"/>
  <c r="K152" i="8" s="1"/>
  <c r="G150" i="8"/>
  <c r="G152" i="8" s="1"/>
  <c r="M150" i="8"/>
  <c r="M152" i="8" s="1"/>
  <c r="G154" i="8"/>
  <c r="G156" i="8" s="1"/>
  <c r="H154" i="8"/>
  <c r="H156" i="8" s="1"/>
  <c r="N154" i="8"/>
  <c r="N156" i="8" s="1"/>
  <c r="M154" i="8"/>
  <c r="M156" i="8" s="1"/>
  <c r="L154" i="8"/>
  <c r="L156" i="8" s="1"/>
  <c r="J154" i="8"/>
  <c r="J156" i="8" s="1"/>
  <c r="I154" i="8"/>
  <c r="I156" i="8" s="1"/>
  <c r="E154" i="8"/>
  <c r="K154" i="8"/>
  <c r="K156" i="8" s="1"/>
  <c r="F154" i="8"/>
  <c r="F156" i="8" s="1"/>
  <c r="I150" i="46"/>
  <c r="K150" i="46"/>
  <c r="O112" i="97"/>
  <c r="M150" i="46"/>
  <c r="G61" i="97"/>
  <c r="E61" i="97"/>
  <c r="J17" i="8"/>
  <c r="L17" i="8"/>
  <c r="E17" i="8"/>
  <c r="I43" i="97"/>
  <c r="H43" i="97"/>
  <c r="F43" i="97"/>
  <c r="G16" i="8"/>
  <c r="F16" i="8"/>
  <c r="F26" i="97" s="1"/>
  <c r="I16" i="8"/>
  <c r="H16" i="8"/>
  <c r="E16" i="8"/>
  <c r="E26" i="97" s="1"/>
  <c r="J21" i="8"/>
  <c r="E21" i="8"/>
  <c r="J150" i="46"/>
  <c r="O119" i="97"/>
  <c r="E47" i="68"/>
  <c r="E51" i="68" s="1"/>
  <c r="E32" i="68"/>
  <c r="E33" i="68" s="1"/>
  <c r="E27" i="68"/>
  <c r="E28" i="68" s="1"/>
  <c r="E153" i="46" s="1"/>
  <c r="E150" i="46"/>
  <c r="J153" i="46" l="1"/>
  <c r="I21" i="8"/>
  <c r="I150" i="8"/>
  <c r="I152" i="8" s="1"/>
  <c r="F150" i="8"/>
  <c r="F152" i="8" s="1"/>
  <c r="E21" i="45"/>
  <c r="G146" i="8" s="1"/>
  <c r="G148" i="8" s="1"/>
  <c r="I153" i="46"/>
  <c r="I154" i="46"/>
  <c r="K154" i="46"/>
  <c r="K153" i="46"/>
  <c r="K21" i="8"/>
  <c r="H21" i="8"/>
  <c r="F21" i="8"/>
  <c r="F112" i="97" s="1"/>
  <c r="M154" i="46"/>
  <c r="G26" i="97"/>
  <c r="M153" i="46"/>
  <c r="M21" i="8"/>
  <c r="L21" i="8"/>
  <c r="N153" i="46"/>
  <c r="G153" i="46"/>
  <c r="G21" i="8"/>
  <c r="N21" i="8"/>
  <c r="N112" i="97" s="1"/>
  <c r="E43" i="97"/>
  <c r="J112" i="97"/>
  <c r="H26" i="97"/>
  <c r="J61" i="97"/>
  <c r="H61" i="97"/>
  <c r="N61" i="97"/>
  <c r="M61" i="97"/>
  <c r="F61" i="97"/>
  <c r="I61" i="97"/>
  <c r="K61" i="97"/>
  <c r="M43" i="97"/>
  <c r="L43" i="97"/>
  <c r="N43" i="97"/>
  <c r="J16" i="8"/>
  <c r="K16" i="8"/>
  <c r="K26" i="97" s="1"/>
  <c r="G43" i="97"/>
  <c r="L16" i="8"/>
  <c r="L26" i="97" s="1"/>
  <c r="M16" i="8"/>
  <c r="M26" i="97" s="1"/>
  <c r="I26" i="97"/>
  <c r="N16" i="8"/>
  <c r="N26" i="97" s="1"/>
  <c r="E8" i="68"/>
  <c r="E112" i="97"/>
  <c r="H153" i="46"/>
  <c r="G150" i="46"/>
  <c r="N154" i="46"/>
  <c r="N150" i="46"/>
  <c r="L153" i="46"/>
  <c r="L154" i="46"/>
  <c r="L150" i="46"/>
  <c r="H150" i="46"/>
  <c r="F150" i="46"/>
  <c r="F153" i="46"/>
  <c r="F154" i="46"/>
  <c r="J154" i="46"/>
  <c r="M213" i="46"/>
  <c r="E156" i="8"/>
  <c r="E35" i="68"/>
  <c r="E154" i="46"/>
  <c r="E156" i="46" s="1"/>
  <c r="H154" i="46"/>
  <c r="E213" i="46"/>
  <c r="J10" i="85"/>
  <c r="F5" i="33"/>
  <c r="F10" i="33" s="1"/>
  <c r="E215" i="77"/>
  <c r="J213" i="46"/>
  <c r="K213" i="46"/>
  <c r="I213" i="46"/>
  <c r="E152" i="8"/>
  <c r="J156" i="46" l="1"/>
  <c r="J159" i="46" s="1"/>
  <c r="J238" i="46" s="1"/>
  <c r="I146" i="8"/>
  <c r="I148" i="8" s="1"/>
  <c r="H146" i="8"/>
  <c r="H148" i="8" s="1"/>
  <c r="F146" i="8"/>
  <c r="F148" i="8" s="1"/>
  <c r="I112" i="97"/>
  <c r="E146" i="8"/>
  <c r="I156" i="46"/>
  <c r="I226" i="46" s="1"/>
  <c r="L146" i="8"/>
  <c r="L148" i="8" s="1"/>
  <c r="N146" i="8"/>
  <c r="N148" i="8" s="1"/>
  <c r="M146" i="8"/>
  <c r="M148" i="8" s="1"/>
  <c r="J146" i="8"/>
  <c r="J148" i="8" s="1"/>
  <c r="K146" i="8"/>
  <c r="K148" i="8" s="1"/>
  <c r="K156" i="46"/>
  <c r="K226" i="46" s="1"/>
  <c r="K112" i="97"/>
  <c r="M156" i="46"/>
  <c r="M112" i="97"/>
  <c r="N156" i="46"/>
  <c r="N226" i="46" s="1"/>
  <c r="L112" i="97"/>
  <c r="H112" i="97"/>
  <c r="G112" i="97"/>
  <c r="F22" i="8"/>
  <c r="F119" i="97" s="1"/>
  <c r="G22" i="8"/>
  <c r="G119" i="97" s="1"/>
  <c r="M22" i="8"/>
  <c r="M119" i="97" s="1"/>
  <c r="H22" i="8"/>
  <c r="H119" i="97" s="1"/>
  <c r="L22" i="8"/>
  <c r="L119" i="97" s="1"/>
  <c r="E22" i="8"/>
  <c r="E119" i="97" s="1"/>
  <c r="J22" i="8"/>
  <c r="J119" i="97" s="1"/>
  <c r="I22" i="8"/>
  <c r="I119" i="97" s="1"/>
  <c r="N22" i="8"/>
  <c r="N119" i="97" s="1"/>
  <c r="K22" i="8"/>
  <c r="K119" i="97" s="1"/>
  <c r="L61" i="97"/>
  <c r="J26" i="97"/>
  <c r="J43" i="97"/>
  <c r="K43" i="97"/>
  <c r="G154" i="46"/>
  <c r="G156" i="46" s="1"/>
  <c r="N66" i="46"/>
  <c r="M66" i="46"/>
  <c r="M36" i="46"/>
  <c r="H156" i="46"/>
  <c r="H159" i="46" s="1"/>
  <c r="G213" i="46"/>
  <c r="N213" i="46"/>
  <c r="L213" i="46"/>
  <c r="L156" i="46"/>
  <c r="L159" i="46" s="1"/>
  <c r="F213" i="46"/>
  <c r="H213" i="46"/>
  <c r="F156" i="46"/>
  <c r="F226" i="46" s="1"/>
  <c r="E226" i="46"/>
  <c r="E216" i="77"/>
  <c r="J16" i="85"/>
  <c r="E159" i="46"/>
  <c r="K36" i="46"/>
  <c r="G66" i="46"/>
  <c r="J66" i="46"/>
  <c r="L36" i="46"/>
  <c r="H167" i="46"/>
  <c r="N167" i="46"/>
  <c r="I66" i="46"/>
  <c r="F167" i="46"/>
  <c r="M167" i="46"/>
  <c r="I36" i="46"/>
  <c r="F66" i="46"/>
  <c r="F7" i="46"/>
  <c r="H36" i="46"/>
  <c r="L167" i="46"/>
  <c r="G36" i="46"/>
  <c r="E99" i="45"/>
  <c r="E375" i="45" s="1"/>
  <c r="E368" i="45"/>
  <c r="E104" i="45"/>
  <c r="E96" i="72"/>
  <c r="E36" i="46"/>
  <c r="E69" i="68"/>
  <c r="E70" i="68" s="1"/>
  <c r="E64" i="68"/>
  <c r="E65" i="68" s="1"/>
  <c r="E170" i="46" s="1"/>
  <c r="E167" i="46"/>
  <c r="F36" i="46"/>
  <c r="H7" i="46"/>
  <c r="E369" i="45"/>
  <c r="E171" i="45"/>
  <c r="E376" i="45" s="1"/>
  <c r="E97" i="72"/>
  <c r="E66" i="46"/>
  <c r="K167" i="46"/>
  <c r="G7" i="46"/>
  <c r="H66" i="46"/>
  <c r="K66" i="46"/>
  <c r="J167" i="46"/>
  <c r="G167" i="46"/>
  <c r="I167" i="46"/>
  <c r="L66" i="46"/>
  <c r="J226" i="46" l="1"/>
  <c r="J160" i="46"/>
  <c r="G170" i="46"/>
  <c r="L170" i="46"/>
  <c r="M170" i="46"/>
  <c r="I170" i="46"/>
  <c r="J170" i="46"/>
  <c r="N170" i="46"/>
  <c r="K170" i="46"/>
  <c r="F170" i="46"/>
  <c r="H170" i="46"/>
  <c r="G8" i="46"/>
  <c r="G10" i="46" s="1"/>
  <c r="G199" i="46" s="1"/>
  <c r="I8" i="46"/>
  <c r="F8" i="46"/>
  <c r="F10" i="46" s="1"/>
  <c r="F199" i="46" s="1"/>
  <c r="H8" i="46"/>
  <c r="H10" i="46" s="1"/>
  <c r="H199" i="46" s="1"/>
  <c r="I159" i="46"/>
  <c r="I238" i="46" s="1"/>
  <c r="K159" i="46"/>
  <c r="K238" i="46" s="1"/>
  <c r="J36" i="46"/>
  <c r="J39" i="46" s="1"/>
  <c r="J200" i="46" s="1"/>
  <c r="N36" i="46"/>
  <c r="N42" i="46" s="1"/>
  <c r="M159" i="46"/>
  <c r="M160" i="46" s="1"/>
  <c r="M226" i="46"/>
  <c r="N159" i="46"/>
  <c r="N160" i="46" s="1"/>
  <c r="E45" i="68"/>
  <c r="I7" i="46"/>
  <c r="I13" i="46" s="1"/>
  <c r="G159" i="46"/>
  <c r="G238" i="46" s="1"/>
  <c r="G226" i="46"/>
  <c r="M211" i="8"/>
  <c r="N69" i="46"/>
  <c r="N201" i="46" s="1"/>
  <c r="N72" i="46"/>
  <c r="M39" i="46"/>
  <c r="M200" i="46" s="1"/>
  <c r="M42" i="46"/>
  <c r="M69" i="46"/>
  <c r="M201" i="46" s="1"/>
  <c r="M72" i="46"/>
  <c r="H226" i="46"/>
  <c r="L226" i="46"/>
  <c r="F159" i="46"/>
  <c r="F238" i="46" s="1"/>
  <c r="E173" i="45"/>
  <c r="H176" i="8" s="1"/>
  <c r="E101" i="45"/>
  <c r="E175" i="8" s="1"/>
  <c r="J171" i="46"/>
  <c r="G13" i="46"/>
  <c r="K171" i="46"/>
  <c r="F39" i="46"/>
  <c r="F200" i="46" s="1"/>
  <c r="F42" i="46"/>
  <c r="G39" i="46"/>
  <c r="G200" i="46" s="1"/>
  <c r="G42" i="46"/>
  <c r="H39" i="46"/>
  <c r="H200" i="46" s="1"/>
  <c r="H42" i="46"/>
  <c r="L211" i="8"/>
  <c r="H238" i="46"/>
  <c r="H160" i="46"/>
  <c r="E238" i="46"/>
  <c r="E160" i="46"/>
  <c r="J22" i="85"/>
  <c r="J214" i="46"/>
  <c r="K69" i="46"/>
  <c r="K201" i="46" s="1"/>
  <c r="K72" i="46"/>
  <c r="H13" i="46"/>
  <c r="F211" i="8"/>
  <c r="E106" i="45"/>
  <c r="E213" i="8" s="1"/>
  <c r="E211" i="8"/>
  <c r="E93" i="69" s="1"/>
  <c r="E95" i="69" s="1"/>
  <c r="G211" i="8"/>
  <c r="L214" i="46"/>
  <c r="H211" i="8"/>
  <c r="F13" i="46"/>
  <c r="I39" i="46"/>
  <c r="I200" i="46" s="1"/>
  <c r="I42" i="46"/>
  <c r="M171" i="46"/>
  <c r="F214" i="46"/>
  <c r="N214" i="46"/>
  <c r="H171" i="46"/>
  <c r="K39" i="46"/>
  <c r="K200" i="46" s="1"/>
  <c r="K42" i="46"/>
  <c r="I214" i="46"/>
  <c r="L69" i="46"/>
  <c r="L201" i="46" s="1"/>
  <c r="L72" i="46"/>
  <c r="I171" i="46"/>
  <c r="G214" i="46"/>
  <c r="H69" i="46"/>
  <c r="H201" i="46" s="1"/>
  <c r="H72" i="46"/>
  <c r="E39" i="46"/>
  <c r="E200" i="46" s="1"/>
  <c r="E150" i="45"/>
  <c r="E153" i="45" s="1"/>
  <c r="E157" i="45" s="1"/>
  <c r="E159" i="45" s="1"/>
  <c r="E225" i="8" s="1"/>
  <c r="E42" i="46"/>
  <c r="L171" i="46"/>
  <c r="J211" i="8"/>
  <c r="H214" i="46"/>
  <c r="G69" i="46"/>
  <c r="G201" i="46" s="1"/>
  <c r="G72" i="46"/>
  <c r="K211" i="8"/>
  <c r="L238" i="46"/>
  <c r="L160" i="46"/>
  <c r="G171" i="46"/>
  <c r="G173" i="46" s="1"/>
  <c r="K214" i="46"/>
  <c r="E69" i="46"/>
  <c r="E201" i="46" s="1"/>
  <c r="E217" i="45"/>
  <c r="E220" i="45" s="1"/>
  <c r="E224" i="45" s="1"/>
  <c r="E226" i="45" s="1"/>
  <c r="E226" i="8" s="1"/>
  <c r="E72" i="46"/>
  <c r="J11" i="85"/>
  <c r="E214" i="46"/>
  <c r="F13" i="33"/>
  <c r="F18" i="33" s="1"/>
  <c r="E243" i="77"/>
  <c r="E171" i="46"/>
  <c r="E173" i="46" s="1"/>
  <c r="E72" i="68"/>
  <c r="F69" i="46"/>
  <c r="F201" i="46" s="1"/>
  <c r="F72" i="46"/>
  <c r="I211" i="8"/>
  <c r="M214" i="46"/>
  <c r="F171" i="46"/>
  <c r="F173" i="46" s="1"/>
  <c r="I69" i="46"/>
  <c r="I201" i="46" s="1"/>
  <c r="I72" i="46"/>
  <c r="N171" i="46"/>
  <c r="L39" i="46"/>
  <c r="L200" i="46" s="1"/>
  <c r="L42" i="46"/>
  <c r="J69" i="46"/>
  <c r="J201" i="46" s="1"/>
  <c r="J72" i="46"/>
  <c r="N173" i="46" l="1"/>
  <c r="L173" i="46"/>
  <c r="L176" i="46" s="1"/>
  <c r="L239" i="46" s="1"/>
  <c r="M173" i="46"/>
  <c r="M227" i="46" s="1"/>
  <c r="I213" i="8"/>
  <c r="K213" i="8"/>
  <c r="H213" i="8"/>
  <c r="J213" i="8"/>
  <c r="I173" i="46"/>
  <c r="I176" i="46" s="1"/>
  <c r="I239" i="46" s="1"/>
  <c r="N175" i="8"/>
  <c r="J173" i="46"/>
  <c r="J176" i="46" s="1"/>
  <c r="I226" i="8"/>
  <c r="J226" i="8"/>
  <c r="L225" i="8"/>
  <c r="H173" i="46"/>
  <c r="H227" i="46" s="1"/>
  <c r="L213" i="8"/>
  <c r="G175" i="8"/>
  <c r="M226" i="8"/>
  <c r="N39" i="46"/>
  <c r="N200" i="46" s="1"/>
  <c r="G226" i="8"/>
  <c r="H226" i="8"/>
  <c r="K225" i="8"/>
  <c r="I225" i="8"/>
  <c r="F225" i="8"/>
  <c r="I176" i="8"/>
  <c r="M176" i="8"/>
  <c r="F226" i="8"/>
  <c r="L226" i="8"/>
  <c r="H225" i="8"/>
  <c r="G225" i="8"/>
  <c r="K173" i="46"/>
  <c r="K176" i="46" s="1"/>
  <c r="K177" i="46" s="1"/>
  <c r="J176" i="8"/>
  <c r="N226" i="8"/>
  <c r="M213" i="8"/>
  <c r="N213" i="8"/>
  <c r="G213" i="8"/>
  <c r="F213" i="8"/>
  <c r="K226" i="8"/>
  <c r="H175" i="8"/>
  <c r="M225" i="8"/>
  <c r="K160" i="46"/>
  <c r="M238" i="46"/>
  <c r="N211" i="8"/>
  <c r="J225" i="8"/>
  <c r="M8" i="46"/>
  <c r="N8" i="46"/>
  <c r="L8" i="46"/>
  <c r="I160" i="46"/>
  <c r="N225" i="8"/>
  <c r="K8" i="46"/>
  <c r="H14" i="46"/>
  <c r="J8" i="46"/>
  <c r="F14" i="46"/>
  <c r="I14" i="46"/>
  <c r="G14" i="46"/>
  <c r="J42" i="46"/>
  <c r="N7" i="46"/>
  <c r="N13" i="46" s="1"/>
  <c r="M7" i="46"/>
  <c r="M13" i="46" s="1"/>
  <c r="N238" i="46"/>
  <c r="J7" i="46"/>
  <c r="K7" i="46"/>
  <c r="L7" i="46"/>
  <c r="I10" i="46"/>
  <c r="I199" i="46" s="1"/>
  <c r="G160" i="46"/>
  <c r="N176" i="8"/>
  <c r="M175" i="8"/>
  <c r="F160" i="46"/>
  <c r="N77" i="46"/>
  <c r="M77" i="46"/>
  <c r="E176" i="8"/>
  <c r="I175" i="8"/>
  <c r="L176" i="8"/>
  <c r="K176" i="8"/>
  <c r="L175" i="8"/>
  <c r="N227" i="46"/>
  <c r="N176" i="46"/>
  <c r="F227" i="46"/>
  <c r="F176" i="46"/>
  <c r="J17" i="85"/>
  <c r="E244" i="77"/>
  <c r="E227" i="46"/>
  <c r="E176" i="46"/>
  <c r="G227" i="46"/>
  <c r="G176" i="46"/>
  <c r="J77" i="46"/>
  <c r="D13" i="33"/>
  <c r="K77" i="46"/>
  <c r="F175" i="8"/>
  <c r="H77" i="46"/>
  <c r="L77" i="46"/>
  <c r="I77" i="46"/>
  <c r="D41" i="33"/>
  <c r="D45" i="33" s="1"/>
  <c r="E77" i="46"/>
  <c r="E120" i="77"/>
  <c r="K175" i="8"/>
  <c r="G176" i="8"/>
  <c r="E106" i="69"/>
  <c r="E144" i="69" s="1"/>
  <c r="E146" i="69" s="1"/>
  <c r="E54" i="46" s="1"/>
  <c r="E99" i="69"/>
  <c r="E139" i="69" s="1"/>
  <c r="E141" i="69" s="1"/>
  <c r="E45" i="46" s="1"/>
  <c r="E48" i="46" s="1"/>
  <c r="J175" i="8"/>
  <c r="F77" i="46"/>
  <c r="L227" i="46"/>
  <c r="G77" i="46"/>
  <c r="F176" i="8"/>
  <c r="M176" i="46" l="1"/>
  <c r="L177" i="46"/>
  <c r="I177" i="46"/>
  <c r="J227" i="46"/>
  <c r="G45" i="46"/>
  <c r="G48" i="46" s="1"/>
  <c r="M54" i="46"/>
  <c r="I227" i="46"/>
  <c r="L54" i="46"/>
  <c r="L45" i="46"/>
  <c r="L48" i="46" s="1"/>
  <c r="L209" i="46" s="1"/>
  <c r="H176" i="46"/>
  <c r="H239" i="46" s="1"/>
  <c r="K45" i="46"/>
  <c r="K48" i="46" s="1"/>
  <c r="H45" i="46"/>
  <c r="H48" i="46" s="1"/>
  <c r="K227" i="46"/>
  <c r="G54" i="46"/>
  <c r="F45" i="46"/>
  <c r="F48" i="46" s="1"/>
  <c r="J54" i="46"/>
  <c r="K239" i="46"/>
  <c r="N54" i="46"/>
  <c r="I54" i="46"/>
  <c r="F54" i="46"/>
  <c r="J45" i="46"/>
  <c r="J48" i="46" s="1"/>
  <c r="I45" i="46"/>
  <c r="I48" i="46" s="1"/>
  <c r="H54" i="46"/>
  <c r="K54" i="46"/>
  <c r="M45" i="46"/>
  <c r="M48" i="46" s="1"/>
  <c r="M209" i="46" s="1"/>
  <c r="N45" i="46"/>
  <c r="N10" i="46"/>
  <c r="N199" i="46" s="1"/>
  <c r="K14" i="46"/>
  <c r="L14" i="46"/>
  <c r="N14" i="46"/>
  <c r="M14" i="46"/>
  <c r="J14" i="46"/>
  <c r="M10" i="46"/>
  <c r="M199" i="46" s="1"/>
  <c r="L10" i="46"/>
  <c r="L199" i="46" s="1"/>
  <c r="L13" i="46"/>
  <c r="J13" i="46"/>
  <c r="J10" i="46"/>
  <c r="J199" i="46" s="1"/>
  <c r="K10" i="46"/>
  <c r="K199" i="46" s="1"/>
  <c r="K13" i="46"/>
  <c r="M210" i="46"/>
  <c r="N210" i="46"/>
  <c r="E209" i="46"/>
  <c r="F11" i="85"/>
  <c r="E75" i="77"/>
  <c r="F239" i="46"/>
  <c r="F177" i="46"/>
  <c r="F210" i="46"/>
  <c r="L210" i="46"/>
  <c r="H210" i="46"/>
  <c r="K210" i="46"/>
  <c r="G210" i="46"/>
  <c r="I210" i="46"/>
  <c r="J210" i="46"/>
  <c r="M177" i="46"/>
  <c r="M239" i="46"/>
  <c r="N239" i="46"/>
  <c r="N177" i="46"/>
  <c r="J239" i="46"/>
  <c r="J177" i="46"/>
  <c r="D16" i="33"/>
  <c r="D18" i="33" s="1"/>
  <c r="E210" i="46"/>
  <c r="F12" i="85"/>
  <c r="G239" i="46"/>
  <c r="G177" i="46"/>
  <c r="E177" i="46"/>
  <c r="E239" i="46"/>
  <c r="J23" i="85"/>
  <c r="H177" i="46" l="1"/>
  <c r="N48" i="46"/>
  <c r="N209" i="46" s="1"/>
  <c r="K209" i="46"/>
  <c r="H209" i="46"/>
  <c r="F209" i="46"/>
  <c r="J209" i="46"/>
  <c r="G209" i="46"/>
  <c r="I209" i="46"/>
  <c r="E148" i="59" l="1"/>
  <c r="E159" i="59" l="1"/>
  <c r="M103" i="84" l="1"/>
  <c r="M90" i="84"/>
  <c r="N90" i="84"/>
  <c r="N103" i="84"/>
  <c r="I103" i="84"/>
  <c r="L90" i="84"/>
  <c r="J90" i="84"/>
  <c r="H90" i="84"/>
  <c r="F103" i="84"/>
  <c r="F90" i="84"/>
  <c r="I90" i="84"/>
  <c r="G103" i="84"/>
  <c r="G90" i="84"/>
  <c r="H103" i="84"/>
  <c r="J103" i="84"/>
  <c r="L103" i="84"/>
  <c r="E103" i="84"/>
  <c r="E90" i="84"/>
  <c r="K90" i="84"/>
  <c r="K103" i="84"/>
  <c r="E69" i="33"/>
  <c r="D90" i="84" l="1"/>
  <c r="O90" i="84" s="1"/>
  <c r="D103" i="84"/>
  <c r="O103" i="84" s="1"/>
  <c r="N19" i="8" l="1"/>
  <c r="E20" i="8" l="1"/>
  <c r="G20" i="8"/>
  <c r="F20" i="8"/>
  <c r="I20" i="8"/>
  <c r="L20" i="8"/>
  <c r="H20" i="8"/>
  <c r="J20" i="8"/>
  <c r="J95" i="97" s="1"/>
  <c r="K20" i="8"/>
  <c r="K19" i="8"/>
  <c r="K78" i="97" s="1"/>
  <c r="L19" i="8"/>
  <c r="N78" i="97"/>
  <c r="M19" i="8"/>
  <c r="J19" i="8"/>
  <c r="G19" i="8"/>
  <c r="F19" i="8"/>
  <c r="I19" i="8"/>
  <c r="E19" i="8"/>
  <c r="H19" i="8"/>
  <c r="O95" i="97" l="1"/>
  <c r="L78" i="97"/>
  <c r="N20" i="8"/>
  <c r="N95" i="97" s="1"/>
  <c r="L95" i="97"/>
  <c r="M20" i="8"/>
  <c r="M95" i="97" s="1"/>
  <c r="K95" i="97"/>
  <c r="M78" i="97"/>
  <c r="J78" i="97"/>
  <c r="E95" i="97"/>
  <c r="F95" i="97"/>
  <c r="I95" i="97"/>
  <c r="H95" i="97"/>
  <c r="G95" i="97"/>
  <c r="I78" i="97"/>
  <c r="O78" i="97"/>
  <c r="H78" i="97"/>
  <c r="E78" i="97"/>
  <c r="F78" i="97"/>
  <c r="G78" i="97"/>
  <c r="E290" i="45"/>
  <c r="I162" i="8" s="1"/>
  <c r="I164" i="8" s="1"/>
  <c r="E162" i="8" l="1"/>
  <c r="E164" i="8" s="1"/>
  <c r="L162" i="8"/>
  <c r="L164" i="8" s="1"/>
  <c r="F162" i="8"/>
  <c r="F164" i="8" s="1"/>
  <c r="H162" i="8"/>
  <c r="H164" i="8" s="1"/>
  <c r="N162" i="8"/>
  <c r="N164" i="8" s="1"/>
  <c r="G162" i="8"/>
  <c r="G164" i="8" s="1"/>
  <c r="M162" i="8"/>
  <c r="M164" i="8" s="1"/>
  <c r="J162" i="8"/>
  <c r="J164" i="8" s="1"/>
  <c r="K162" i="8"/>
  <c r="K164" i="8" s="1"/>
  <c r="E231" i="45"/>
  <c r="I158" i="8" s="1"/>
  <c r="I160" i="8" s="1"/>
  <c r="G158" i="8" l="1"/>
  <c r="G160" i="8" s="1"/>
  <c r="M158" i="8"/>
  <c r="M160" i="8" s="1"/>
  <c r="M166" i="8" s="1"/>
  <c r="E158" i="8"/>
  <c r="E160" i="8" s="1"/>
  <c r="L158" i="8"/>
  <c r="L160" i="8" s="1"/>
  <c r="L166" i="8" s="1"/>
  <c r="N158" i="8"/>
  <c r="N160" i="8" s="1"/>
  <c r="K158" i="8"/>
  <c r="K160" i="8" s="1"/>
  <c r="K166" i="8" s="1"/>
  <c r="J158" i="8"/>
  <c r="J160" i="8" s="1"/>
  <c r="J166" i="8" s="1"/>
  <c r="F158" i="8"/>
  <c r="F160" i="8" s="1"/>
  <c r="H158" i="8"/>
  <c r="H160" i="8" s="1"/>
  <c r="N93" i="46"/>
  <c r="K121" i="46"/>
  <c r="K93" i="46"/>
  <c r="J121" i="46"/>
  <c r="J93" i="46"/>
  <c r="L93" i="46"/>
  <c r="L121" i="46"/>
  <c r="E236" i="45"/>
  <c r="N166" i="8" l="1"/>
  <c r="M93" i="46"/>
  <c r="M121" i="46"/>
  <c r="N215" i="8"/>
  <c r="N121" i="46"/>
  <c r="N99" i="46"/>
  <c r="N96" i="46"/>
  <c r="N202" i="46" s="1"/>
  <c r="I93" i="46"/>
  <c r="F166" i="8"/>
  <c r="L96" i="46"/>
  <c r="L202" i="46" s="1"/>
  <c r="L99" i="46"/>
  <c r="H93" i="46"/>
  <c r="K99" i="46"/>
  <c r="K96" i="46"/>
  <c r="K202" i="46" s="1"/>
  <c r="K124" i="46"/>
  <c r="K203" i="46" s="1"/>
  <c r="K127" i="46"/>
  <c r="G166" i="8"/>
  <c r="J215" i="8"/>
  <c r="G93" i="46"/>
  <c r="H121" i="46"/>
  <c r="F93" i="46"/>
  <c r="F121" i="46"/>
  <c r="E233" i="45"/>
  <c r="E93" i="46"/>
  <c r="H166" i="8"/>
  <c r="J99" i="46"/>
  <c r="J96" i="46"/>
  <c r="J202" i="46" s="1"/>
  <c r="I166" i="8"/>
  <c r="K215" i="8"/>
  <c r="L124" i="46"/>
  <c r="L203" i="46" s="1"/>
  <c r="L127" i="46"/>
  <c r="L215" i="8"/>
  <c r="E295" i="45"/>
  <c r="L219" i="8" s="1"/>
  <c r="E292" i="45"/>
  <c r="E121" i="46"/>
  <c r="G121" i="46"/>
  <c r="I121" i="46"/>
  <c r="J124" i="46"/>
  <c r="J203" i="46" s="1"/>
  <c r="J127" i="46"/>
  <c r="K219" i="8" l="1"/>
  <c r="J219" i="8"/>
  <c r="M99" i="46"/>
  <c r="M96" i="46"/>
  <c r="M202" i="46" s="1"/>
  <c r="N219" i="8"/>
  <c r="M219" i="8"/>
  <c r="M127" i="46"/>
  <c r="M124" i="46"/>
  <c r="M203" i="46" s="1"/>
  <c r="N127" i="46"/>
  <c r="N124" i="46"/>
  <c r="N203" i="46" s="1"/>
  <c r="N205" i="46" s="1"/>
  <c r="M215" i="8"/>
  <c r="I124" i="46"/>
  <c r="I203" i="46" s="1"/>
  <c r="I127" i="46"/>
  <c r="E297" i="45"/>
  <c r="G221" i="8" s="1"/>
  <c r="E219" i="8"/>
  <c r="E237" i="69" s="1"/>
  <c r="E239" i="69" s="1"/>
  <c r="E238" i="45"/>
  <c r="M217" i="8" s="1"/>
  <c r="E215" i="8"/>
  <c r="E165" i="69" s="1"/>
  <c r="E167" i="69" s="1"/>
  <c r="F221" i="8"/>
  <c r="F219" i="8"/>
  <c r="F96" i="46"/>
  <c r="F202" i="46" s="1"/>
  <c r="F99" i="46"/>
  <c r="H124" i="46"/>
  <c r="H203" i="46" s="1"/>
  <c r="H127" i="46"/>
  <c r="G215" i="8"/>
  <c r="I99" i="46"/>
  <c r="I96" i="46"/>
  <c r="I202" i="46" s="1"/>
  <c r="I219" i="8"/>
  <c r="J205" i="46"/>
  <c r="G99" i="46"/>
  <c r="G96" i="46"/>
  <c r="G202" i="46" s="1"/>
  <c r="H215" i="8"/>
  <c r="E275" i="45"/>
  <c r="E278" i="45" s="1"/>
  <c r="E282" i="45" s="1"/>
  <c r="E284" i="45" s="1"/>
  <c r="F228" i="8" s="1"/>
  <c r="E99" i="46"/>
  <c r="E96" i="46"/>
  <c r="E202" i="46" s="1"/>
  <c r="F124" i="46"/>
  <c r="F203" i="46" s="1"/>
  <c r="F127" i="46"/>
  <c r="H219" i="8"/>
  <c r="H99" i="46"/>
  <c r="H96" i="46"/>
  <c r="H202" i="46" s="1"/>
  <c r="I215" i="8"/>
  <c r="G124" i="46"/>
  <c r="G203" i="46" s="1"/>
  <c r="G127" i="46"/>
  <c r="E124" i="46"/>
  <c r="E203" i="46" s="1"/>
  <c r="E334" i="45"/>
  <c r="E337" i="45" s="1"/>
  <c r="E341" i="45" s="1"/>
  <c r="E343" i="45" s="1"/>
  <c r="H229" i="8" s="1"/>
  <c r="E127" i="46"/>
  <c r="G219" i="8"/>
  <c r="E378" i="45"/>
  <c r="E371" i="45"/>
  <c r="E99" i="72"/>
  <c r="E377" i="45"/>
  <c r="E98" i="72"/>
  <c r="E370" i="45"/>
  <c r="F215" i="8"/>
  <c r="K205" i="46"/>
  <c r="L205" i="46"/>
  <c r="I221" i="8" l="1"/>
  <c r="G217" i="8"/>
  <c r="H221" i="8"/>
  <c r="I217" i="8"/>
  <c r="F217" i="8"/>
  <c r="N229" i="8"/>
  <c r="M229" i="8"/>
  <c r="I229" i="8"/>
  <c r="H228" i="8"/>
  <c r="H217" i="8"/>
  <c r="G228" i="8"/>
  <c r="I228" i="8"/>
  <c r="E221" i="8"/>
  <c r="J221" i="8"/>
  <c r="K221" i="8"/>
  <c r="L221" i="8"/>
  <c r="M221" i="8"/>
  <c r="N221" i="8"/>
  <c r="E228" i="8"/>
  <c r="K228" i="8"/>
  <c r="J228" i="8"/>
  <c r="N228" i="8"/>
  <c r="L228" i="8"/>
  <c r="E229" i="8"/>
  <c r="L229" i="8"/>
  <c r="J229" i="8"/>
  <c r="K229" i="8"/>
  <c r="G229" i="8"/>
  <c r="F229" i="8"/>
  <c r="E217" i="8"/>
  <c r="N217" i="8"/>
  <c r="J217" i="8"/>
  <c r="K217" i="8"/>
  <c r="L217" i="8"/>
  <c r="M228" i="8"/>
  <c r="M205" i="46"/>
  <c r="N39" i="64"/>
  <c r="N71" i="64" s="1"/>
  <c r="N74" i="64" s="1"/>
  <c r="N63" i="64" s="1"/>
  <c r="N35" i="8" s="1"/>
  <c r="I205" i="46"/>
  <c r="H205" i="46"/>
  <c r="F205" i="46"/>
  <c r="K39" i="64"/>
  <c r="K71" i="64" s="1"/>
  <c r="K74" i="64" s="1"/>
  <c r="K63" i="64" s="1"/>
  <c r="K35" i="8" s="1"/>
  <c r="E13" i="33"/>
  <c r="E5" i="33"/>
  <c r="G205" i="46"/>
  <c r="J39" i="64"/>
  <c r="J71" i="64" s="1"/>
  <c r="J74" i="64" s="1"/>
  <c r="J63" i="64" s="1"/>
  <c r="J35" i="8" s="1"/>
  <c r="E178" i="69"/>
  <c r="E216" i="69" s="1"/>
  <c r="E218" i="69" s="1"/>
  <c r="F109" i="46" s="1"/>
  <c r="E171" i="69"/>
  <c r="E211" i="69" s="1"/>
  <c r="E213" i="69" s="1"/>
  <c r="L39" i="64"/>
  <c r="L71" i="64" s="1"/>
  <c r="L74" i="64" s="1"/>
  <c r="L63" i="64" s="1"/>
  <c r="L35" i="8" s="1"/>
  <c r="E243" i="69"/>
  <c r="E283" i="69" s="1"/>
  <c r="E285" i="69" s="1"/>
  <c r="I129" i="46" s="1"/>
  <c r="E250" i="69"/>
  <c r="E288" i="69" s="1"/>
  <c r="E290" i="69" s="1"/>
  <c r="G137" i="46" s="1"/>
  <c r="F129" i="46" l="1"/>
  <c r="F132" i="46" s="1"/>
  <c r="F212" i="46" s="1"/>
  <c r="H129" i="46"/>
  <c r="H132" i="46" s="1"/>
  <c r="H212" i="46" s="1"/>
  <c r="G109" i="46"/>
  <c r="N137" i="46"/>
  <c r="I109" i="46"/>
  <c r="G129" i="46"/>
  <c r="E101" i="46"/>
  <c r="E8" i="33" s="1"/>
  <c r="E10" i="33" s="1"/>
  <c r="N101" i="46"/>
  <c r="N104" i="46" s="1"/>
  <c r="N211" i="46" s="1"/>
  <c r="K101" i="46"/>
  <c r="K104" i="46" s="1"/>
  <c r="L101" i="46"/>
  <c r="L104" i="46" s="1"/>
  <c r="J101" i="46"/>
  <c r="J104" i="46" s="1"/>
  <c r="J211" i="46" s="1"/>
  <c r="N129" i="46"/>
  <c r="N132" i="46" s="1"/>
  <c r="N212" i="46" s="1"/>
  <c r="M101" i="46"/>
  <c r="M104" i="46" s="1"/>
  <c r="E137" i="46"/>
  <c r="K137" i="46"/>
  <c r="J137" i="46"/>
  <c r="L137" i="46"/>
  <c r="E109" i="46"/>
  <c r="K109" i="46"/>
  <c r="L109" i="46"/>
  <c r="J109" i="46"/>
  <c r="N109" i="46"/>
  <c r="H101" i="46"/>
  <c r="H104" i="46" s="1"/>
  <c r="M137" i="46"/>
  <c r="M109" i="46"/>
  <c r="F137" i="46"/>
  <c r="I101" i="46"/>
  <c r="I104" i="46" s="1"/>
  <c r="E129" i="46"/>
  <c r="E132" i="46" s="1"/>
  <c r="E212" i="46" s="1"/>
  <c r="L129" i="46"/>
  <c r="L132" i="46" s="1"/>
  <c r="J129" i="46"/>
  <c r="J132" i="46" s="1"/>
  <c r="J296" i="46" s="1"/>
  <c r="K129" i="46"/>
  <c r="K132" i="46" s="1"/>
  <c r="K212" i="46" s="1"/>
  <c r="H137" i="46"/>
  <c r="F101" i="46"/>
  <c r="F104" i="46" s="1"/>
  <c r="H109" i="46"/>
  <c r="G101" i="46"/>
  <c r="G104" i="46" s="1"/>
  <c r="I137" i="46"/>
  <c r="M129" i="46"/>
  <c r="M132" i="46" s="1"/>
  <c r="M212" i="46" s="1"/>
  <c r="M39" i="64"/>
  <c r="M71" i="64" s="1"/>
  <c r="M74" i="64" s="1"/>
  <c r="M63" i="64" s="1"/>
  <c r="M35" i="8" s="1"/>
  <c r="I39" i="64"/>
  <c r="I71" i="64" s="1"/>
  <c r="I74" i="64" s="1"/>
  <c r="I63" i="64" s="1"/>
  <c r="I35" i="8" s="1"/>
  <c r="H39" i="64"/>
  <c r="H71" i="64" s="1"/>
  <c r="H74" i="64" s="1"/>
  <c r="H63" i="64" s="1"/>
  <c r="H35" i="8" s="1"/>
  <c r="H296" i="46"/>
  <c r="F39" i="64"/>
  <c r="F71" i="64" s="1"/>
  <c r="F74" i="64" s="1"/>
  <c r="F63" i="64" s="1"/>
  <c r="F35" i="8" s="1"/>
  <c r="G39" i="64"/>
  <c r="G71" i="64" s="1"/>
  <c r="G74" i="64" s="1"/>
  <c r="G63" i="64" s="1"/>
  <c r="G35" i="8" s="1"/>
  <c r="I132" i="46"/>
  <c r="G132" i="46"/>
  <c r="J212" i="46" l="1"/>
  <c r="J276" i="46"/>
  <c r="F296" i="46"/>
  <c r="H11" i="85"/>
  <c r="N11" i="85" s="1"/>
  <c r="N276" i="46"/>
  <c r="E296" i="46"/>
  <c r="N296" i="46"/>
  <c r="E159" i="77"/>
  <c r="E16" i="33"/>
  <c r="E18" i="33" s="1"/>
  <c r="E104" i="46"/>
  <c r="H10" i="85" s="1"/>
  <c r="E187" i="77"/>
  <c r="K296" i="46"/>
  <c r="K276" i="46"/>
  <c r="K211" i="46"/>
  <c r="M296" i="46"/>
  <c r="L276" i="46"/>
  <c r="L296" i="46"/>
  <c r="L212" i="46"/>
  <c r="L211" i="46"/>
  <c r="M211" i="46"/>
  <c r="M276" i="46"/>
  <c r="F276" i="46"/>
  <c r="F211" i="46"/>
  <c r="G211" i="46"/>
  <c r="I212" i="46"/>
  <c r="I296" i="46"/>
  <c r="H276" i="46"/>
  <c r="H211" i="46"/>
  <c r="I276" i="46"/>
  <c r="I211" i="46"/>
  <c r="G212" i="46"/>
  <c r="G296" i="46"/>
  <c r="G276" i="46"/>
  <c r="E211" i="46" l="1"/>
  <c r="E276" i="46"/>
  <c r="E152" i="77" s="1"/>
  <c r="E169" i="77" s="1"/>
  <c r="E180" i="77" l="1"/>
  <c r="E197" i="77" s="1"/>
  <c r="H13" i="85"/>
  <c r="E91" i="77"/>
  <c r="E101" i="77" s="1"/>
  <c r="O126" i="97" l="1"/>
  <c r="I23" i="8" l="1"/>
  <c r="J23" i="8"/>
  <c r="F23" i="8"/>
  <c r="M23" i="8"/>
  <c r="L23" i="8"/>
  <c r="E23" i="8"/>
  <c r="E84" i="68"/>
  <c r="E88" i="68" s="1"/>
  <c r="N23" i="8"/>
  <c r="H23" i="8"/>
  <c r="G23" i="8"/>
  <c r="K23" i="8"/>
  <c r="N126" i="97" l="1"/>
  <c r="K184" i="46"/>
  <c r="H184" i="46"/>
  <c r="E101" i="68"/>
  <c r="E102" i="68" s="1"/>
  <c r="E187" i="46" s="1"/>
  <c r="E106" i="68"/>
  <c r="E107" i="68" s="1"/>
  <c r="E184" i="46"/>
  <c r="M184" i="46"/>
  <c r="J184" i="46"/>
  <c r="K126" i="97"/>
  <c r="E82" i="68"/>
  <c r="E126" i="97"/>
  <c r="M126" i="97"/>
  <c r="J126" i="97"/>
  <c r="H126" i="97"/>
  <c r="G184" i="46"/>
  <c r="N184" i="46"/>
  <c r="L184" i="46"/>
  <c r="F184" i="46"/>
  <c r="I184" i="46"/>
  <c r="G126" i="97"/>
  <c r="L126" i="97"/>
  <c r="F126" i="97"/>
  <c r="I126" i="97"/>
  <c r="F187" i="46" l="1"/>
  <c r="G187" i="46"/>
  <c r="I187" i="46"/>
  <c r="L187" i="46"/>
  <c r="H187" i="46"/>
  <c r="J187" i="46"/>
  <c r="K187" i="46"/>
  <c r="N187" i="46"/>
  <c r="M187" i="46"/>
  <c r="I188" i="46"/>
  <c r="L188" i="46"/>
  <c r="N188" i="46"/>
  <c r="J188" i="46"/>
  <c r="M188" i="46"/>
  <c r="H188" i="46"/>
  <c r="K188" i="46"/>
  <c r="I297" i="46"/>
  <c r="I277" i="46"/>
  <c r="I215" i="46"/>
  <c r="F297" i="46"/>
  <c r="F277" i="46"/>
  <c r="F215" i="46"/>
  <c r="L277" i="46"/>
  <c r="L297" i="46"/>
  <c r="L215" i="46"/>
  <c r="N297" i="46"/>
  <c r="N277" i="46"/>
  <c r="N215" i="46"/>
  <c r="G297" i="46"/>
  <c r="G277" i="46"/>
  <c r="G215" i="46"/>
  <c r="J297" i="46"/>
  <c r="J277" i="46"/>
  <c r="J215" i="46"/>
  <c r="M297" i="46"/>
  <c r="M277" i="46"/>
  <c r="M215" i="46"/>
  <c r="E41" i="33"/>
  <c r="E45" i="33" s="1"/>
  <c r="J12" i="85"/>
  <c r="N12" i="85" s="1"/>
  <c r="E297" i="46"/>
  <c r="E277" i="46"/>
  <c r="E271" i="77"/>
  <c r="E215" i="46"/>
  <c r="H297" i="46"/>
  <c r="H277" i="46"/>
  <c r="H215" i="46"/>
  <c r="K297" i="46"/>
  <c r="K277" i="46"/>
  <c r="K215" i="46"/>
  <c r="F188" i="46"/>
  <c r="G188" i="46"/>
  <c r="E109" i="68"/>
  <c r="E188" i="46"/>
  <c r="E190" i="46" s="1"/>
  <c r="N190" i="46" l="1"/>
  <c r="N228" i="46" s="1"/>
  <c r="F190" i="46"/>
  <c r="F193" i="46" s="1"/>
  <c r="H190" i="46"/>
  <c r="H193" i="46" s="1"/>
  <c r="H240" i="46" s="1"/>
  <c r="K190" i="46"/>
  <c r="K193" i="46" s="1"/>
  <c r="L190" i="46"/>
  <c r="L193" i="46" s="1"/>
  <c r="L283" i="46" s="1"/>
  <c r="I190" i="46"/>
  <c r="I228" i="46" s="1"/>
  <c r="J190" i="46"/>
  <c r="J193" i="46" s="1"/>
  <c r="J194" i="46" s="1"/>
  <c r="G190" i="46"/>
  <c r="G193" i="46" s="1"/>
  <c r="G194" i="46" s="1"/>
  <c r="M190" i="46"/>
  <c r="M228" i="46" s="1"/>
  <c r="E272" i="77"/>
  <c r="J18" i="85"/>
  <c r="E228" i="46"/>
  <c r="E193" i="46"/>
  <c r="J13" i="85"/>
  <c r="E208" i="77"/>
  <c r="E225" i="77" s="1"/>
  <c r="E236" i="77"/>
  <c r="E253" i="77" s="1"/>
  <c r="E264" i="77"/>
  <c r="E281" i="77" s="1"/>
  <c r="N193" i="46" l="1"/>
  <c r="N194" i="46" s="1"/>
  <c r="F228" i="46"/>
  <c r="H228" i="46"/>
  <c r="H194" i="46"/>
  <c r="H283" i="46"/>
  <c r="H289" i="46" s="1"/>
  <c r="J240" i="46"/>
  <c r="J283" i="46"/>
  <c r="J289" i="46" s="1"/>
  <c r="J228" i="46"/>
  <c r="K228" i="46"/>
  <c r="I193" i="46"/>
  <c r="I194" i="46" s="1"/>
  <c r="G283" i="46"/>
  <c r="G289" i="46" s="1"/>
  <c r="G240" i="46"/>
  <c r="L228" i="46"/>
  <c r="L194" i="46"/>
  <c r="L240" i="46"/>
  <c r="G228" i="46"/>
  <c r="M193" i="46"/>
  <c r="M240" i="46" s="1"/>
  <c r="F283" i="46"/>
  <c r="F240" i="46"/>
  <c r="F194" i="46"/>
  <c r="J19" i="85"/>
  <c r="E283" i="46"/>
  <c r="E240" i="46"/>
  <c r="J24" i="85"/>
  <c r="E194" i="46"/>
  <c r="I240" i="46"/>
  <c r="L289" i="46"/>
  <c r="K283" i="46"/>
  <c r="K194" i="46"/>
  <c r="K240" i="46"/>
  <c r="N283" i="46" l="1"/>
  <c r="N289" i="46" s="1"/>
  <c r="N240" i="46"/>
  <c r="I283" i="46"/>
  <c r="I289" i="46" s="1"/>
  <c r="M283" i="46"/>
  <c r="M289" i="46" s="1"/>
  <c r="M194" i="46"/>
  <c r="E289" i="46"/>
  <c r="J26" i="85"/>
  <c r="K289" i="46"/>
  <c r="F289" i="46"/>
  <c r="J27" i="85" l="1"/>
  <c r="E31" i="45" l="1"/>
  <c r="E7" i="46"/>
  <c r="H207" i="8" l="1"/>
  <c r="G207" i="8"/>
  <c r="F207" i="8"/>
  <c r="I207" i="8"/>
  <c r="N207" i="8"/>
  <c r="M207" i="8"/>
  <c r="K207" i="8"/>
  <c r="L207" i="8"/>
  <c r="J207" i="8"/>
  <c r="E77" i="45"/>
  <c r="E13" i="46"/>
  <c r="E207" i="8"/>
  <c r="E21" i="69" s="1"/>
  <c r="E23" i="69" s="1"/>
  <c r="D5" i="33" l="1"/>
  <c r="E27" i="69"/>
  <c r="E67" i="69" s="1"/>
  <c r="E69" i="69" s="1"/>
  <c r="E34" i="69"/>
  <c r="E72" i="69" s="1"/>
  <c r="E74" i="69" s="1"/>
  <c r="E25" i="46" l="1"/>
  <c r="F25" i="46"/>
  <c r="H25" i="46"/>
  <c r="G25" i="46"/>
  <c r="N25" i="46"/>
  <c r="M25" i="46"/>
  <c r="J25" i="46"/>
  <c r="K25" i="46"/>
  <c r="L25" i="46"/>
  <c r="E16" i="46"/>
  <c r="D8" i="33" s="1"/>
  <c r="F16" i="46"/>
  <c r="F19" i="46" s="1"/>
  <c r="H16" i="46"/>
  <c r="H19" i="46" s="1"/>
  <c r="G16" i="46"/>
  <c r="G19" i="46" s="1"/>
  <c r="M16" i="46"/>
  <c r="M19" i="46" s="1"/>
  <c r="N16" i="46"/>
  <c r="N19" i="46" s="1"/>
  <c r="I16" i="46"/>
  <c r="I19" i="46" s="1"/>
  <c r="K16" i="46"/>
  <c r="K19" i="46" s="1"/>
  <c r="J16" i="46"/>
  <c r="J19" i="46" s="1"/>
  <c r="L16" i="46"/>
  <c r="L19" i="46" s="1"/>
  <c r="I25" i="46"/>
  <c r="E367" i="45"/>
  <c r="E32" i="45"/>
  <c r="E24" i="45"/>
  <c r="E95" i="72"/>
  <c r="E147" i="8"/>
  <c r="E148" i="8" s="1"/>
  <c r="E8" i="46"/>
  <c r="E78" i="45" s="1"/>
  <c r="E80" i="45" s="1"/>
  <c r="E84" i="45" s="1"/>
  <c r="E86" i="45" s="1"/>
  <c r="I275" i="46" l="1"/>
  <c r="I278" i="46" s="1"/>
  <c r="I208" i="46"/>
  <c r="I217" i="46" s="1"/>
  <c r="I295" i="46"/>
  <c r="I298" i="46" s="1"/>
  <c r="H208" i="46"/>
  <c r="H217" i="46" s="1"/>
  <c r="H275" i="46"/>
  <c r="H278" i="46" s="1"/>
  <c r="H295" i="46"/>
  <c r="H298" i="46" s="1"/>
  <c r="E224" i="8"/>
  <c r="H224" i="8"/>
  <c r="F224" i="8"/>
  <c r="G224" i="8"/>
  <c r="K224" i="8"/>
  <c r="I224" i="8"/>
  <c r="N224" i="8"/>
  <c r="J224" i="8"/>
  <c r="M224" i="8"/>
  <c r="L224" i="8"/>
  <c r="E208" i="8"/>
  <c r="I208" i="8"/>
  <c r="H208" i="8"/>
  <c r="F208" i="8"/>
  <c r="G208" i="8"/>
  <c r="M208" i="8"/>
  <c r="L208" i="8"/>
  <c r="K208" i="8"/>
  <c r="N208" i="8"/>
  <c r="J208" i="8"/>
  <c r="L275" i="46"/>
  <c r="L278" i="46" s="1"/>
  <c r="L208" i="46"/>
  <c r="L217" i="46" s="1"/>
  <c r="L295" i="46"/>
  <c r="L298" i="46" s="1"/>
  <c r="N208" i="46"/>
  <c r="N217" i="46" s="1"/>
  <c r="N275" i="46"/>
  <c r="N278" i="46" s="1"/>
  <c r="N295" i="46"/>
  <c r="N298" i="46" s="1"/>
  <c r="F275" i="46"/>
  <c r="F278" i="46" s="1"/>
  <c r="F208" i="46"/>
  <c r="F217" i="46" s="1"/>
  <c r="F295" i="46"/>
  <c r="F298" i="46" s="1"/>
  <c r="J208" i="46"/>
  <c r="J217" i="46" s="1"/>
  <c r="J275" i="46"/>
  <c r="J278" i="46" s="1"/>
  <c r="J295" i="46"/>
  <c r="J298" i="46" s="1"/>
  <c r="M275" i="46"/>
  <c r="M278" i="46" s="1"/>
  <c r="M208" i="46"/>
  <c r="M217" i="46" s="1"/>
  <c r="M295" i="46"/>
  <c r="M298" i="46" s="1"/>
  <c r="K208" i="46"/>
  <c r="K217" i="46" s="1"/>
  <c r="K275" i="46"/>
  <c r="K278" i="46" s="1"/>
  <c r="K295" i="46"/>
  <c r="K298" i="46" s="1"/>
  <c r="G208" i="46"/>
  <c r="G217" i="46" s="1"/>
  <c r="G275" i="46"/>
  <c r="G278" i="46" s="1"/>
  <c r="G295" i="46"/>
  <c r="G298" i="46" s="1"/>
  <c r="E33" i="45"/>
  <c r="E372" i="45"/>
  <c r="E102" i="72" s="1"/>
  <c r="E108" i="72" s="1"/>
  <c r="E14" i="46"/>
  <c r="E30" i="77" s="1"/>
  <c r="E166" i="8"/>
  <c r="E10" i="46"/>
  <c r="E199" i="46" s="1"/>
  <c r="E205" i="46" s="1"/>
  <c r="E26" i="45"/>
  <c r="E374" i="45"/>
  <c r="K254" i="46" l="1"/>
  <c r="K218" i="46"/>
  <c r="K264" i="8" s="1"/>
  <c r="K263" i="46"/>
  <c r="K263" i="8"/>
  <c r="F174" i="8"/>
  <c r="G174" i="8"/>
  <c r="M174" i="8"/>
  <c r="H174" i="8"/>
  <c r="I174" i="8"/>
  <c r="J174" i="8"/>
  <c r="K174" i="8"/>
  <c r="L174" i="8"/>
  <c r="N174" i="8"/>
  <c r="M218" i="46"/>
  <c r="M264" i="8" s="1"/>
  <c r="M263" i="8"/>
  <c r="M263" i="46"/>
  <c r="M254" i="46"/>
  <c r="F263" i="8"/>
  <c r="F263" i="46"/>
  <c r="F218" i="46"/>
  <c r="F264" i="8" s="1"/>
  <c r="F254" i="46"/>
  <c r="L263" i="8"/>
  <c r="L254" i="46"/>
  <c r="L263" i="46"/>
  <c r="L218" i="46"/>
  <c r="L264" i="8" s="1"/>
  <c r="I218" i="46"/>
  <c r="I264" i="8" s="1"/>
  <c r="I263" i="8"/>
  <c r="I263" i="46"/>
  <c r="I254" i="46"/>
  <c r="E209" i="8"/>
  <c r="H209" i="8"/>
  <c r="I209" i="8"/>
  <c r="G209" i="8"/>
  <c r="F209" i="8"/>
  <c r="L209" i="8"/>
  <c r="K209" i="8"/>
  <c r="N209" i="8"/>
  <c r="M209" i="8"/>
  <c r="J209" i="8"/>
  <c r="G254" i="46"/>
  <c r="G263" i="8"/>
  <c r="G218" i="46"/>
  <c r="G264" i="8" s="1"/>
  <c r="G263" i="46"/>
  <c r="J263" i="46"/>
  <c r="J254" i="46"/>
  <c r="J218" i="46"/>
  <c r="J264" i="8" s="1"/>
  <c r="J263" i="8"/>
  <c r="N263" i="8"/>
  <c r="N254" i="46"/>
  <c r="N263" i="46"/>
  <c r="N218" i="46"/>
  <c r="N264" i="8" s="1"/>
  <c r="H263" i="46"/>
  <c r="H218" i="46"/>
  <c r="H264" i="8" s="1"/>
  <c r="H263" i="8"/>
  <c r="H254" i="46"/>
  <c r="E105" i="72"/>
  <c r="E111" i="72" s="1"/>
  <c r="E104" i="72"/>
  <c r="E110" i="72" s="1"/>
  <c r="E103" i="72"/>
  <c r="E109" i="72" s="1"/>
  <c r="E19" i="46"/>
  <c r="D7" i="33"/>
  <c r="D10" i="33" s="1"/>
  <c r="E101" i="72"/>
  <c r="E107" i="72" s="1"/>
  <c r="E379" i="45"/>
  <c r="E174" i="8"/>
  <c r="E363" i="45"/>
  <c r="E327" i="45" s="1"/>
  <c r="E329" i="45" s="1"/>
  <c r="E331" i="45" s="1"/>
  <c r="E354" i="45"/>
  <c r="E47" i="45" s="1"/>
  <c r="E49" i="45" s="1"/>
  <c r="E39" i="64"/>
  <c r="E71" i="64" s="1"/>
  <c r="E74" i="64" s="1"/>
  <c r="E63" i="64" s="1"/>
  <c r="E359" i="45"/>
  <c r="E203" i="45" s="1"/>
  <c r="E205" i="45" s="1"/>
  <c r="E207" i="45" s="1"/>
  <c r="E355" i="45"/>
  <c r="E63" i="45" s="1"/>
  <c r="E65" i="45" s="1"/>
  <c r="E67" i="45" s="1"/>
  <c r="E361" i="45"/>
  <c r="E268" i="45" s="1"/>
  <c r="E270" i="45" s="1"/>
  <c r="E272" i="45" s="1"/>
  <c r="E357" i="45"/>
  <c r="E136" i="45" s="1"/>
  <c r="E138" i="45" s="1"/>
  <c r="E140" i="45" s="1"/>
  <c r="E358" i="45"/>
  <c r="E187" i="45" s="1"/>
  <c r="E189" i="45" s="1"/>
  <c r="E191" i="45" s="1"/>
  <c r="E362" i="45"/>
  <c r="E311" i="45" s="1"/>
  <c r="E313" i="45" s="1"/>
  <c r="E315" i="45" s="1"/>
  <c r="E360" i="45"/>
  <c r="E252" i="45" s="1"/>
  <c r="E254" i="45" s="1"/>
  <c r="E356" i="45"/>
  <c r="E120" i="45" s="1"/>
  <c r="E122" i="45" s="1"/>
  <c r="E124" i="45" s="1"/>
  <c r="E80" i="46" l="1"/>
  <c r="L80" i="46"/>
  <c r="J80" i="46"/>
  <c r="N80" i="46"/>
  <c r="K80" i="46"/>
  <c r="M80" i="46"/>
  <c r="F80" i="46"/>
  <c r="G80" i="46"/>
  <c r="I80" i="46"/>
  <c r="H80" i="46"/>
  <c r="E82" i="46"/>
  <c r="N82" i="46"/>
  <c r="L82" i="46"/>
  <c r="K82" i="46"/>
  <c r="J82" i="46"/>
  <c r="I82" i="46"/>
  <c r="G82" i="46"/>
  <c r="F82" i="46"/>
  <c r="H82" i="46"/>
  <c r="M82" i="46"/>
  <c r="E51" i="46"/>
  <c r="K51" i="46"/>
  <c r="L51" i="46"/>
  <c r="N51" i="46"/>
  <c r="J51" i="46"/>
  <c r="M51" i="46"/>
  <c r="H51" i="46"/>
  <c r="G51" i="46"/>
  <c r="F51" i="46"/>
  <c r="I51" i="46"/>
  <c r="E52" i="46"/>
  <c r="L52" i="46"/>
  <c r="N52" i="46"/>
  <c r="K52" i="46"/>
  <c r="J52" i="46"/>
  <c r="G52" i="46"/>
  <c r="M52" i="46"/>
  <c r="I52" i="46"/>
  <c r="H52" i="46"/>
  <c r="F52" i="46"/>
  <c r="E108" i="46"/>
  <c r="J108" i="46"/>
  <c r="L108" i="46"/>
  <c r="K108" i="46"/>
  <c r="N108" i="46"/>
  <c r="G108" i="46"/>
  <c r="M108" i="46"/>
  <c r="I108" i="46"/>
  <c r="H108" i="46"/>
  <c r="F108" i="46"/>
  <c r="E135" i="46"/>
  <c r="N135" i="46"/>
  <c r="J135" i="46"/>
  <c r="L135" i="46"/>
  <c r="K135" i="46"/>
  <c r="G135" i="46"/>
  <c r="F135" i="46"/>
  <c r="M135" i="46"/>
  <c r="H135" i="46"/>
  <c r="I135" i="46"/>
  <c r="E23" i="46"/>
  <c r="N23" i="46"/>
  <c r="K23" i="46"/>
  <c r="L23" i="46"/>
  <c r="J23" i="46"/>
  <c r="I23" i="46"/>
  <c r="F23" i="46"/>
  <c r="G23" i="46"/>
  <c r="M23" i="46"/>
  <c r="H23" i="46"/>
  <c r="E136" i="46"/>
  <c r="J136" i="46"/>
  <c r="L136" i="46"/>
  <c r="K136" i="46"/>
  <c r="N136" i="46"/>
  <c r="H136" i="46"/>
  <c r="M136" i="46"/>
  <c r="I136" i="46"/>
  <c r="F136" i="46"/>
  <c r="G136" i="46"/>
  <c r="E208" i="46"/>
  <c r="E217" i="46" s="1"/>
  <c r="E275" i="46"/>
  <c r="E20" i="77" s="1"/>
  <c r="E49" i="77" s="1"/>
  <c r="F10" i="85"/>
  <c r="N10" i="85" s="1"/>
  <c r="E295" i="46"/>
  <c r="E298" i="46" s="1"/>
  <c r="E112" i="72"/>
  <c r="E256" i="45"/>
  <c r="E51" i="45"/>
  <c r="D18" i="6"/>
  <c r="D84" i="33"/>
  <c r="D85" i="33" s="1"/>
  <c r="E35" i="8"/>
  <c r="E381" i="45"/>
  <c r="J3" i="37" l="1"/>
  <c r="J3" i="39"/>
  <c r="E56" i="46"/>
  <c r="E222" i="46" s="1"/>
  <c r="E84" i="46"/>
  <c r="E223" i="46" s="1"/>
  <c r="E139" i="46"/>
  <c r="E225" i="46" s="1"/>
  <c r="E121" i="77"/>
  <c r="E76" i="77"/>
  <c r="E188" i="77"/>
  <c r="E107" i="46"/>
  <c r="E111" i="46" s="1"/>
  <c r="H107" i="46"/>
  <c r="H111" i="46" s="1"/>
  <c r="L107" i="46"/>
  <c r="L111" i="46" s="1"/>
  <c r="N107" i="46"/>
  <c r="N111" i="46" s="1"/>
  <c r="I107" i="46"/>
  <c r="I111" i="46" s="1"/>
  <c r="K107" i="46"/>
  <c r="K111" i="46" s="1"/>
  <c r="J107" i="46"/>
  <c r="J111" i="46" s="1"/>
  <c r="M107" i="46"/>
  <c r="M111" i="46" s="1"/>
  <c r="F107" i="46"/>
  <c r="F111" i="46" s="1"/>
  <c r="G107" i="46"/>
  <c r="G111" i="46" s="1"/>
  <c r="I139" i="46"/>
  <c r="G139" i="46"/>
  <c r="N139" i="46"/>
  <c r="G56" i="46"/>
  <c r="N56" i="46"/>
  <c r="G84" i="46"/>
  <c r="N84" i="46"/>
  <c r="H139" i="46"/>
  <c r="K139" i="46"/>
  <c r="H56" i="46"/>
  <c r="L56" i="46"/>
  <c r="F84" i="46"/>
  <c r="J84" i="46"/>
  <c r="E178" i="8"/>
  <c r="H6" i="39" s="1"/>
  <c r="N178" i="8"/>
  <c r="J178" i="8"/>
  <c r="L178" i="8"/>
  <c r="K178" i="8"/>
  <c r="M178" i="8"/>
  <c r="G178" i="8"/>
  <c r="H178" i="8"/>
  <c r="F178" i="8"/>
  <c r="I178" i="8"/>
  <c r="M139" i="46"/>
  <c r="L139" i="46"/>
  <c r="I56" i="46"/>
  <c r="M56" i="46"/>
  <c r="K56" i="46"/>
  <c r="H84" i="46"/>
  <c r="M84" i="46"/>
  <c r="L84" i="46"/>
  <c r="E22" i="46"/>
  <c r="E31" i="77" s="1"/>
  <c r="E32" i="77" s="1"/>
  <c r="E36" i="77" s="1"/>
  <c r="E55" i="77" s="1"/>
  <c r="H22" i="46"/>
  <c r="H27" i="46" s="1"/>
  <c r="I22" i="46"/>
  <c r="I27" i="46" s="1"/>
  <c r="L22" i="46"/>
  <c r="L27" i="46" s="1"/>
  <c r="K22" i="46"/>
  <c r="K27" i="46" s="1"/>
  <c r="J22" i="46"/>
  <c r="J27" i="46" s="1"/>
  <c r="M22" i="46"/>
  <c r="M27" i="46" s="1"/>
  <c r="N22" i="46"/>
  <c r="N27" i="46" s="1"/>
  <c r="G22" i="46"/>
  <c r="G27" i="46" s="1"/>
  <c r="F22" i="46"/>
  <c r="F27" i="46" s="1"/>
  <c r="E196" i="8"/>
  <c r="Q6" i="36" s="1"/>
  <c r="N196" i="8"/>
  <c r="L196" i="8"/>
  <c r="K196" i="8"/>
  <c r="J196" i="8"/>
  <c r="M196" i="8"/>
  <c r="F196" i="8"/>
  <c r="G196" i="8"/>
  <c r="I196" i="8"/>
  <c r="H196" i="8"/>
  <c r="F139" i="46"/>
  <c r="J139" i="46"/>
  <c r="F56" i="46"/>
  <c r="J56" i="46"/>
  <c r="I84" i="46"/>
  <c r="K84" i="46"/>
  <c r="H6" i="37"/>
  <c r="N3" i="36"/>
  <c r="E21" i="77"/>
  <c r="E41" i="77" s="1"/>
  <c r="E42" i="77" s="1"/>
  <c r="E46" i="77" s="1"/>
  <c r="E56" i="77" s="1"/>
  <c r="J3" i="40"/>
  <c r="E263" i="8"/>
  <c r="E278" i="46"/>
  <c r="E110" i="77"/>
  <c r="E139" i="77" s="1"/>
  <c r="E65" i="77"/>
  <c r="E94" i="77" s="1"/>
  <c r="E218" i="46"/>
  <c r="E265" i="77"/>
  <c r="E273" i="77" s="1"/>
  <c r="E274" i="77" s="1"/>
  <c r="E278" i="77" s="1"/>
  <c r="E181" i="77"/>
  <c r="E199" i="77" s="1"/>
  <c r="E237" i="77"/>
  <c r="E254" i="77" s="1"/>
  <c r="E19" i="77"/>
  <c r="E63" i="77"/>
  <c r="F27" i="11"/>
  <c r="G27" i="11" s="1"/>
  <c r="E66" i="77"/>
  <c r="E95" i="77" s="1"/>
  <c r="E153" i="77"/>
  <c r="E171" i="77" s="1"/>
  <c r="E254" i="46"/>
  <c r="E263" i="46"/>
  <c r="E64" i="77"/>
  <c r="F13" i="85"/>
  <c r="N13" i="85" s="1"/>
  <c r="N36" i="85" s="1"/>
  <c r="E18" i="77"/>
  <c r="E209" i="77"/>
  <c r="E217" i="77" s="1"/>
  <c r="E218" i="77" s="1"/>
  <c r="E222" i="77" s="1"/>
  <c r="E108" i="77"/>
  <c r="E109" i="77"/>
  <c r="E111" i="77"/>
  <c r="E140" i="77" s="1"/>
  <c r="F18" i="6"/>
  <c r="D12" i="6" s="1"/>
  <c r="D32" i="6"/>
  <c r="F17" i="85" l="1"/>
  <c r="E87" i="46"/>
  <c r="F24" i="85" s="1"/>
  <c r="N24" i="85" s="1"/>
  <c r="F18" i="85"/>
  <c r="N18" i="85" s="1"/>
  <c r="E142" i="46"/>
  <c r="E143" i="46" s="1"/>
  <c r="E59" i="46"/>
  <c r="E234" i="46" s="1"/>
  <c r="J4" i="37"/>
  <c r="J4" i="39"/>
  <c r="H17" i="85"/>
  <c r="E27" i="46"/>
  <c r="E221" i="46" s="1"/>
  <c r="D30" i="33"/>
  <c r="D31" i="33" s="1"/>
  <c r="E160" i="77"/>
  <c r="F56" i="11"/>
  <c r="G56" i="11" s="1"/>
  <c r="J56" i="11" s="1"/>
  <c r="K56" i="11" s="1"/>
  <c r="L6" i="39"/>
  <c r="L6" i="40"/>
  <c r="K6" i="36"/>
  <c r="L6" i="37"/>
  <c r="F54" i="11"/>
  <c r="G54" i="11" s="1"/>
  <c r="J54" i="11" s="1"/>
  <c r="K54" i="11" s="1"/>
  <c r="H6" i="40"/>
  <c r="F222" i="46"/>
  <c r="F59" i="46"/>
  <c r="M221" i="46"/>
  <c r="M30" i="46"/>
  <c r="I221" i="46"/>
  <c r="I30" i="46"/>
  <c r="M223" i="46"/>
  <c r="M87" i="46"/>
  <c r="I59" i="46"/>
  <c r="I222" i="46"/>
  <c r="H59" i="46"/>
  <c r="H222" i="46"/>
  <c r="G87" i="46"/>
  <c r="G223" i="46"/>
  <c r="G225" i="46"/>
  <c r="G142" i="46"/>
  <c r="M114" i="46"/>
  <c r="M224" i="46"/>
  <c r="N224" i="46"/>
  <c r="N114" i="46"/>
  <c r="K223" i="46"/>
  <c r="K87" i="46"/>
  <c r="J225" i="46"/>
  <c r="J142" i="46"/>
  <c r="F221" i="46"/>
  <c r="F30" i="46"/>
  <c r="J221" i="46"/>
  <c r="J30" i="46"/>
  <c r="H221" i="46"/>
  <c r="H30" i="46"/>
  <c r="H87" i="46"/>
  <c r="H223" i="46"/>
  <c r="L142" i="46"/>
  <c r="L225" i="46"/>
  <c r="J87" i="46"/>
  <c r="J223" i="46"/>
  <c r="K225" i="46"/>
  <c r="K142" i="46"/>
  <c r="N222" i="46"/>
  <c r="N59" i="46"/>
  <c r="I225" i="46"/>
  <c r="I142" i="46"/>
  <c r="J114" i="46"/>
  <c r="J224" i="46"/>
  <c r="L224" i="46"/>
  <c r="L114" i="46"/>
  <c r="I223" i="46"/>
  <c r="I87" i="46"/>
  <c r="F142" i="46"/>
  <c r="F225" i="46"/>
  <c r="G221" i="46"/>
  <c r="G30" i="46"/>
  <c r="K221" i="46"/>
  <c r="K30" i="46"/>
  <c r="K222" i="46"/>
  <c r="K59" i="46"/>
  <c r="M142" i="46"/>
  <c r="M225" i="46"/>
  <c r="F223" i="46"/>
  <c r="F87" i="46"/>
  <c r="H225" i="46"/>
  <c r="H142" i="46"/>
  <c r="G59" i="46"/>
  <c r="G222" i="46"/>
  <c r="G224" i="46"/>
  <c r="G114" i="46"/>
  <c r="K224" i="46"/>
  <c r="K114" i="46"/>
  <c r="H114" i="46"/>
  <c r="H224" i="46"/>
  <c r="J222" i="46"/>
  <c r="J59" i="46"/>
  <c r="N221" i="46"/>
  <c r="N30" i="46"/>
  <c r="L221" i="46"/>
  <c r="L30" i="46"/>
  <c r="L223" i="46"/>
  <c r="L87" i="46"/>
  <c r="M59" i="46"/>
  <c r="M222" i="46"/>
  <c r="L59" i="46"/>
  <c r="L222" i="46"/>
  <c r="N223" i="46"/>
  <c r="N87" i="46"/>
  <c r="N225" i="46"/>
  <c r="N142" i="46"/>
  <c r="F114" i="46"/>
  <c r="F224" i="46"/>
  <c r="I114" i="46"/>
  <c r="I224" i="46"/>
  <c r="N4" i="36"/>
  <c r="E264" i="8"/>
  <c r="H27" i="11" s="1"/>
  <c r="I27" i="11" s="1"/>
  <c r="J4" i="40"/>
  <c r="E51" i="77"/>
  <c r="E50" i="77"/>
  <c r="E198" i="77"/>
  <c r="E283" i="77"/>
  <c r="E282" i="77"/>
  <c r="E161" i="77"/>
  <c r="E189" i="77"/>
  <c r="E77" i="77"/>
  <c r="E78" i="77" s="1"/>
  <c r="E82" i="77" s="1"/>
  <c r="E100" i="77" s="1"/>
  <c r="E96" i="77"/>
  <c r="E245" i="77"/>
  <c r="E246" i="77" s="1"/>
  <c r="E250" i="77" s="1"/>
  <c r="E255" i="77"/>
  <c r="E170" i="77"/>
  <c r="E172" i="77" s="1"/>
  <c r="E226" i="77"/>
  <c r="N44" i="85"/>
  <c r="E122" i="77"/>
  <c r="E123" i="77" s="1"/>
  <c r="E127" i="77" s="1"/>
  <c r="E227" i="77"/>
  <c r="E141" i="77"/>
  <c r="H16" i="85"/>
  <c r="E224" i="46"/>
  <c r="E114" i="46"/>
  <c r="E88" i="46"/>
  <c r="E235" i="46"/>
  <c r="E303" i="46"/>
  <c r="E237" i="46" l="1"/>
  <c r="H23" i="85"/>
  <c r="N17" i="85"/>
  <c r="E60" i="46"/>
  <c r="E302" i="46"/>
  <c r="E308" i="46" s="1"/>
  <c r="F23" i="85"/>
  <c r="N23" i="85" s="1"/>
  <c r="E30" i="46"/>
  <c r="E31" i="46" s="1"/>
  <c r="F16" i="85"/>
  <c r="N16" i="85" s="1"/>
  <c r="E162" i="77"/>
  <c r="E166" i="77" s="1"/>
  <c r="E175" i="77" s="1"/>
  <c r="H19" i="85"/>
  <c r="E12" i="11"/>
  <c r="N88" i="46"/>
  <c r="N235" i="46"/>
  <c r="N303" i="46"/>
  <c r="N309" i="46" s="1"/>
  <c r="L281" i="46"/>
  <c r="L233" i="46"/>
  <c r="L31" i="46"/>
  <c r="L301" i="46"/>
  <c r="J234" i="46"/>
  <c r="J60" i="46"/>
  <c r="J302" i="46"/>
  <c r="J308" i="46" s="1"/>
  <c r="K236" i="46"/>
  <c r="K115" i="46"/>
  <c r="K282" i="46"/>
  <c r="K288" i="46" s="1"/>
  <c r="F235" i="46"/>
  <c r="F88" i="46"/>
  <c r="F303" i="46"/>
  <c r="F309" i="46" s="1"/>
  <c r="K234" i="46"/>
  <c r="K302" i="46"/>
  <c r="K308" i="46" s="1"/>
  <c r="K60" i="46"/>
  <c r="G301" i="46"/>
  <c r="G281" i="46"/>
  <c r="G233" i="46"/>
  <c r="G31" i="46"/>
  <c r="I88" i="46"/>
  <c r="I235" i="46"/>
  <c r="I303" i="46"/>
  <c r="I309" i="46" s="1"/>
  <c r="N60" i="46"/>
  <c r="N234" i="46"/>
  <c r="N302" i="46"/>
  <c r="N308" i="46" s="1"/>
  <c r="J31" i="46"/>
  <c r="J301" i="46"/>
  <c r="J233" i="46"/>
  <c r="J281" i="46"/>
  <c r="J143" i="46"/>
  <c r="J237" i="46"/>
  <c r="N282" i="46"/>
  <c r="N288" i="46" s="1"/>
  <c r="N236" i="46"/>
  <c r="N115" i="46"/>
  <c r="G143" i="46"/>
  <c r="G237" i="46"/>
  <c r="M88" i="46"/>
  <c r="M235" i="46"/>
  <c r="M303" i="46"/>
  <c r="M309" i="46" s="1"/>
  <c r="M233" i="46"/>
  <c r="M31" i="46"/>
  <c r="M281" i="46"/>
  <c r="F115" i="46"/>
  <c r="F236" i="46"/>
  <c r="F282" i="46"/>
  <c r="F288" i="46" s="1"/>
  <c r="M60" i="46"/>
  <c r="M234" i="46"/>
  <c r="M302" i="46"/>
  <c r="M308" i="46" s="1"/>
  <c r="L230" i="46"/>
  <c r="L266" i="46" s="1"/>
  <c r="L268" i="46" s="1"/>
  <c r="L269" i="46" s="1"/>
  <c r="G60" i="46"/>
  <c r="G302" i="46"/>
  <c r="G308" i="46" s="1"/>
  <c r="G234" i="46"/>
  <c r="G230" i="46"/>
  <c r="G266" i="46" s="1"/>
  <c r="G268" i="46" s="1"/>
  <c r="G269" i="46" s="1"/>
  <c r="J282" i="46"/>
  <c r="J288" i="46" s="1"/>
  <c r="J115" i="46"/>
  <c r="J236" i="46"/>
  <c r="J88" i="46"/>
  <c r="J235" i="46"/>
  <c r="J303" i="46"/>
  <c r="J309" i="46" s="1"/>
  <c r="H88" i="46"/>
  <c r="H235" i="46"/>
  <c r="H303" i="46"/>
  <c r="H309" i="46" s="1"/>
  <c r="J230" i="46"/>
  <c r="J266" i="46" s="1"/>
  <c r="J268" i="46" s="1"/>
  <c r="J269" i="46" s="1"/>
  <c r="H60" i="46"/>
  <c r="H234" i="46"/>
  <c r="M230" i="46"/>
  <c r="M266" i="46" s="1"/>
  <c r="M268" i="46" s="1"/>
  <c r="M269" i="46" s="1"/>
  <c r="N237" i="46"/>
  <c r="N143" i="46"/>
  <c r="L235" i="46"/>
  <c r="L88" i="46"/>
  <c r="L303" i="46"/>
  <c r="L309" i="46" s="1"/>
  <c r="N281" i="46"/>
  <c r="N31" i="46"/>
  <c r="N233" i="46"/>
  <c r="N301" i="46"/>
  <c r="G236" i="46"/>
  <c r="G115" i="46"/>
  <c r="G282" i="46"/>
  <c r="G288" i="46" s="1"/>
  <c r="H302" i="46"/>
  <c r="H308" i="46" s="1"/>
  <c r="H237" i="46"/>
  <c r="H143" i="46"/>
  <c r="K301" i="46"/>
  <c r="K233" i="46"/>
  <c r="K281" i="46"/>
  <c r="K31" i="46"/>
  <c r="L236" i="46"/>
  <c r="L115" i="46"/>
  <c r="L282" i="46"/>
  <c r="L288" i="46" s="1"/>
  <c r="I302" i="46"/>
  <c r="I308" i="46" s="1"/>
  <c r="I143" i="46"/>
  <c r="I237" i="46"/>
  <c r="K237" i="46"/>
  <c r="K143" i="46"/>
  <c r="H31" i="46"/>
  <c r="H301" i="46"/>
  <c r="H233" i="46"/>
  <c r="H281" i="46"/>
  <c r="F233" i="46"/>
  <c r="F281" i="46"/>
  <c r="F301" i="46"/>
  <c r="F31" i="46"/>
  <c r="K235" i="46"/>
  <c r="K88" i="46"/>
  <c r="K303" i="46"/>
  <c r="K309" i="46" s="1"/>
  <c r="I301" i="46"/>
  <c r="I233" i="46"/>
  <c r="I31" i="46"/>
  <c r="I281" i="46"/>
  <c r="F234" i="46"/>
  <c r="F302" i="46"/>
  <c r="F308" i="46" s="1"/>
  <c r="F60" i="46"/>
  <c r="I236" i="46"/>
  <c r="I115" i="46"/>
  <c r="I282" i="46"/>
  <c r="I288" i="46" s="1"/>
  <c r="L234" i="46"/>
  <c r="L302" i="46"/>
  <c r="L308" i="46" s="1"/>
  <c r="L60" i="46"/>
  <c r="N230" i="46"/>
  <c r="N266" i="46" s="1"/>
  <c r="N268" i="46" s="1"/>
  <c r="N269" i="46" s="1"/>
  <c r="H115" i="46"/>
  <c r="H236" i="46"/>
  <c r="H282" i="46"/>
  <c r="H288" i="46" s="1"/>
  <c r="M237" i="46"/>
  <c r="M143" i="46"/>
  <c r="K230" i="46"/>
  <c r="K266" i="46" s="1"/>
  <c r="K268" i="46" s="1"/>
  <c r="K269" i="46" s="1"/>
  <c r="F143" i="46"/>
  <c r="F237" i="46"/>
  <c r="L143" i="46"/>
  <c r="L237" i="46"/>
  <c r="H230" i="46"/>
  <c r="H266" i="46" s="1"/>
  <c r="H268" i="46" s="1"/>
  <c r="H269" i="46" s="1"/>
  <c r="F230" i="46"/>
  <c r="F266" i="46" s="1"/>
  <c r="F268" i="46" s="1"/>
  <c r="F269" i="46" s="1"/>
  <c r="M301" i="46"/>
  <c r="M282" i="46"/>
  <c r="M288" i="46" s="1"/>
  <c r="M236" i="46"/>
  <c r="M115" i="46"/>
  <c r="G235" i="46"/>
  <c r="G88" i="46"/>
  <c r="G303" i="46"/>
  <c r="G309" i="46" s="1"/>
  <c r="I234" i="46"/>
  <c r="I60" i="46"/>
  <c r="I230" i="46"/>
  <c r="I266" i="46" s="1"/>
  <c r="I268" i="46" s="1"/>
  <c r="I269" i="46" s="1"/>
  <c r="J27" i="11"/>
  <c r="K27" i="11" s="1"/>
  <c r="E52" i="77"/>
  <c r="E190" i="77"/>
  <c r="E194" i="77" s="1"/>
  <c r="E200" i="77"/>
  <c r="E284" i="77"/>
  <c r="E287" i="77" s="1"/>
  <c r="E256" i="77"/>
  <c r="E259" i="77" s="1"/>
  <c r="E97" i="77"/>
  <c r="E102" i="77" s="1"/>
  <c r="E103" i="77" s="1"/>
  <c r="E142" i="77"/>
  <c r="E145" i="77" s="1"/>
  <c r="E147" i="77" s="1"/>
  <c r="E230" i="46"/>
  <c r="E228" i="77"/>
  <c r="E231" i="77" s="1"/>
  <c r="E309" i="46"/>
  <c r="E236" i="46"/>
  <c r="E115" i="46"/>
  <c r="E282" i="46"/>
  <c r="H22" i="85"/>
  <c r="H26" i="85" s="1"/>
  <c r="E301" i="46" l="1"/>
  <c r="F22" i="85"/>
  <c r="N19" i="85"/>
  <c r="E233" i="46"/>
  <c r="E242" i="46" s="1"/>
  <c r="E281" i="46"/>
  <c r="E284" i="46" s="1"/>
  <c r="E290" i="46" s="1"/>
  <c r="F19" i="85"/>
  <c r="N242" i="46"/>
  <c r="N243" i="46" s="1"/>
  <c r="I287" i="46"/>
  <c r="I284" i="46"/>
  <c r="I290" i="46" s="1"/>
  <c r="F307" i="46"/>
  <c r="F304" i="46"/>
  <c r="F310" i="46" s="1"/>
  <c r="H242" i="46"/>
  <c r="H243" i="46" s="1"/>
  <c r="K287" i="46"/>
  <c r="K284" i="46"/>
  <c r="K290" i="46" s="1"/>
  <c r="N287" i="46"/>
  <c r="N284" i="46"/>
  <c r="N290" i="46" s="1"/>
  <c r="M242" i="46"/>
  <c r="M243" i="46" s="1"/>
  <c r="J242" i="46"/>
  <c r="J243" i="46" s="1"/>
  <c r="G307" i="46"/>
  <c r="G304" i="46"/>
  <c r="G310" i="46" s="1"/>
  <c r="L287" i="46"/>
  <c r="L284" i="46"/>
  <c r="L290" i="46" s="1"/>
  <c r="M307" i="46"/>
  <c r="M304" i="46"/>
  <c r="M310" i="46" s="1"/>
  <c r="F287" i="46"/>
  <c r="F284" i="46"/>
  <c r="F290" i="46" s="1"/>
  <c r="H307" i="46"/>
  <c r="H304" i="46"/>
  <c r="H310" i="46" s="1"/>
  <c r="K242" i="46"/>
  <c r="K243" i="46" s="1"/>
  <c r="N307" i="46"/>
  <c r="N304" i="46"/>
  <c r="N310" i="46" s="1"/>
  <c r="J307" i="46"/>
  <c r="J304" i="46"/>
  <c r="J310" i="46" s="1"/>
  <c r="L307" i="46"/>
  <c r="L304" i="46"/>
  <c r="L310" i="46" s="1"/>
  <c r="I242" i="46"/>
  <c r="I243" i="46" s="1"/>
  <c r="F242" i="46"/>
  <c r="F243" i="46" s="1"/>
  <c r="K307" i="46"/>
  <c r="K304" i="46"/>
  <c r="K310" i="46" s="1"/>
  <c r="M287" i="46"/>
  <c r="M284" i="46"/>
  <c r="M290" i="46" s="1"/>
  <c r="G242" i="46"/>
  <c r="G243" i="46" s="1"/>
  <c r="I307" i="46"/>
  <c r="I304" i="46"/>
  <c r="I310" i="46" s="1"/>
  <c r="H287" i="46"/>
  <c r="H284" i="46"/>
  <c r="H290" i="46" s="1"/>
  <c r="J287" i="46"/>
  <c r="J284" i="46"/>
  <c r="J290" i="46" s="1"/>
  <c r="G287" i="46"/>
  <c r="G284" i="46"/>
  <c r="G290" i="46" s="1"/>
  <c r="L242" i="46"/>
  <c r="L243" i="46" s="1"/>
  <c r="E203" i="77"/>
  <c r="E294" i="77" s="1"/>
  <c r="E317" i="77"/>
  <c r="E57" i="77"/>
  <c r="E58" i="77" s="1"/>
  <c r="E310" i="77" s="1"/>
  <c r="E295" i="77"/>
  <c r="E316" i="77"/>
  <c r="E266" i="46"/>
  <c r="E268" i="46" s="1"/>
  <c r="E301" i="77"/>
  <c r="E309" i="77" s="1"/>
  <c r="E313" i="77"/>
  <c r="E312" i="77"/>
  <c r="E315" i="77"/>
  <c r="E288" i="46"/>
  <c r="F26" i="85"/>
  <c r="N22" i="85"/>
  <c r="N26" i="85" s="1"/>
  <c r="N27" i="85" s="1"/>
  <c r="E311" i="77"/>
  <c r="E307" i="46"/>
  <c r="E304" i="46"/>
  <c r="E310" i="46" s="1"/>
  <c r="E287" i="46" l="1"/>
  <c r="L3" i="37"/>
  <c r="L3" i="39"/>
  <c r="N3" i="39"/>
  <c r="N3" i="37"/>
  <c r="E255" i="8"/>
  <c r="K255" i="8"/>
  <c r="N255" i="8"/>
  <c r="I255" i="8"/>
  <c r="J255" i="8"/>
  <c r="L255" i="8"/>
  <c r="G255" i="8"/>
  <c r="F255" i="8"/>
  <c r="M255" i="8"/>
  <c r="H255" i="8"/>
  <c r="E254" i="8"/>
  <c r="F254" i="8"/>
  <c r="G254" i="8"/>
  <c r="H254" i="8"/>
  <c r="N254" i="8"/>
  <c r="K254" i="8"/>
  <c r="M254" i="8"/>
  <c r="J254" i="8"/>
  <c r="I254" i="8"/>
  <c r="L254" i="8"/>
  <c r="Q3" i="36"/>
  <c r="T3" i="36"/>
  <c r="N3" i="40"/>
  <c r="L3" i="40"/>
  <c r="E314" i="77"/>
  <c r="E300" i="77"/>
  <c r="E333" i="77"/>
  <c r="E332" i="77"/>
  <c r="E299" i="77"/>
  <c r="E293" i="77"/>
  <c r="E325" i="77"/>
  <c r="E329" i="77"/>
  <c r="E328" i="77"/>
  <c r="E331" i="77"/>
  <c r="H27" i="85"/>
  <c r="N46" i="85"/>
  <c r="N47" i="85" s="1"/>
  <c r="E269" i="46"/>
  <c r="F29" i="11"/>
  <c r="G29" i="11" s="1"/>
  <c r="F27" i="85"/>
  <c r="E326" i="77"/>
  <c r="E327" i="77"/>
  <c r="E243" i="46"/>
  <c r="F28" i="11"/>
  <c r="G28" i="11" s="1"/>
  <c r="L4" i="39" l="1"/>
  <c r="L4" i="37"/>
  <c r="N4" i="37"/>
  <c r="N4" i="39"/>
  <c r="E296" i="77"/>
  <c r="E256" i="8" s="1"/>
  <c r="I253" i="8"/>
  <c r="H253" i="8"/>
  <c r="M253" i="8"/>
  <c r="G253" i="8"/>
  <c r="L253" i="8"/>
  <c r="K253" i="8"/>
  <c r="J253" i="8"/>
  <c r="F253" i="8"/>
  <c r="N253" i="8"/>
  <c r="Q4" i="36"/>
  <c r="T4" i="36"/>
  <c r="N4" i="40"/>
  <c r="L4" i="40"/>
  <c r="E253" i="8"/>
  <c r="E330" i="77"/>
  <c r="E302" i="77"/>
  <c r="E308" i="77"/>
  <c r="H28" i="11"/>
  <c r="I28" i="11" s="1"/>
  <c r="H29" i="11"/>
  <c r="I29" i="11" s="1"/>
  <c r="H3" i="37" l="1"/>
  <c r="H3" i="39"/>
  <c r="L256" i="8"/>
  <c r="H256" i="8"/>
  <c r="K256" i="8"/>
  <c r="N256" i="8"/>
  <c r="I256" i="8"/>
  <c r="G256" i="8"/>
  <c r="F256" i="8"/>
  <c r="J256" i="8"/>
  <c r="M256" i="8"/>
  <c r="K3" i="36"/>
  <c r="H3" i="40"/>
  <c r="E324" i="77"/>
  <c r="F26" i="11"/>
  <c r="G26" i="11" s="1"/>
  <c r="J26" i="11" s="1"/>
  <c r="K26" i="11" s="1"/>
  <c r="E307" i="77"/>
  <c r="J29" i="11"/>
  <c r="K29" i="11" s="1"/>
  <c r="J28" i="11"/>
  <c r="K28" i="11" s="1"/>
  <c r="E6" i="11" l="1"/>
  <c r="K265" i="8"/>
  <c r="J265" i="8"/>
  <c r="H265" i="8"/>
  <c r="N265" i="8"/>
  <c r="M265" i="8"/>
  <c r="F265" i="8"/>
  <c r="L265" i="8"/>
  <c r="E265" i="8"/>
  <c r="E323" i="77"/>
  <c r="G265" i="8"/>
  <c r="I265" i="8"/>
</calcChain>
</file>

<file path=xl/comments1.xml><?xml version="1.0" encoding="utf-8"?>
<comments xmlns="http://schemas.openxmlformats.org/spreadsheetml/2006/main">
  <authors>
    <author>Adam Aranyos</author>
  </authors>
  <commentList>
    <comment ref="C33" authorId="0" shapeId="0">
      <text>
        <r>
          <rPr>
            <sz val="11"/>
            <color indexed="81"/>
            <rFont val="Verdana"/>
            <family val="2"/>
          </rPr>
          <t xml:space="preserve">If TRUE is selected, please fill out the section starting in column U. Otherwise, fill out the section starting in column I.
</t>
        </r>
      </text>
    </comment>
    <comment ref="N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P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R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T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U33" authorId="0" shapeId="0">
      <text>
        <r>
          <rPr>
            <sz val="11"/>
            <color indexed="81"/>
            <rFont val="Verdana"/>
            <family val="2"/>
          </rPr>
          <t xml:space="preserve">Conditions must be </t>
        </r>
        <r>
          <rPr>
            <u/>
            <sz val="11"/>
            <color indexed="81"/>
            <rFont val="Verdana"/>
            <family val="2"/>
          </rPr>
          <t>mutually exclusive</t>
        </r>
        <r>
          <rPr>
            <sz val="11"/>
            <color indexed="81"/>
            <rFont val="Verdana"/>
            <family val="2"/>
          </rPr>
          <t xml:space="preserve"> (i.e. if one condition formula evaluates to TRUE, all others must evaluate to FALSE)
</t>
        </r>
      </text>
    </comment>
    <comment ref="W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X33" authorId="0" shapeId="0">
      <text>
        <r>
          <rPr>
            <sz val="11"/>
            <color indexed="81"/>
            <rFont val="Verdana"/>
            <family val="2"/>
          </rPr>
          <t xml:space="preserve">Conditions must be </t>
        </r>
        <r>
          <rPr>
            <u/>
            <sz val="11"/>
            <color indexed="81"/>
            <rFont val="Verdana"/>
            <family val="2"/>
          </rPr>
          <t>mutually exclusive</t>
        </r>
        <r>
          <rPr>
            <sz val="11"/>
            <color indexed="81"/>
            <rFont val="Verdana"/>
            <family val="2"/>
          </rPr>
          <t xml:space="preserve"> (i.e. if one condition formula evaluates to TRUE, all others must evaluate to FALSE)
</t>
        </r>
      </text>
    </comment>
    <comment ref="Z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AA33" authorId="0" shapeId="0">
      <text>
        <r>
          <rPr>
            <sz val="11"/>
            <color indexed="81"/>
            <rFont val="Verdana"/>
            <family val="2"/>
          </rPr>
          <t xml:space="preserve">Conditions must be </t>
        </r>
        <r>
          <rPr>
            <u/>
            <sz val="11"/>
            <color indexed="81"/>
            <rFont val="Verdana"/>
            <family val="2"/>
          </rPr>
          <t>mutually exclusive</t>
        </r>
        <r>
          <rPr>
            <sz val="11"/>
            <color indexed="81"/>
            <rFont val="Verdana"/>
            <family val="2"/>
          </rPr>
          <t xml:space="preserve"> (i.e. if one condition formula evaluates to TRUE, all others must evaluate to FALSE)
</t>
        </r>
      </text>
    </comment>
    <comment ref="AC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AD33" authorId="0" shapeId="0">
      <text>
        <r>
          <rPr>
            <sz val="11"/>
            <color indexed="81"/>
            <rFont val="Verdana"/>
            <family val="2"/>
          </rPr>
          <t xml:space="preserve">Conditions must be </t>
        </r>
        <r>
          <rPr>
            <u/>
            <sz val="11"/>
            <color indexed="81"/>
            <rFont val="Verdana"/>
            <family val="2"/>
          </rPr>
          <t>mutually exclusive</t>
        </r>
        <r>
          <rPr>
            <sz val="11"/>
            <color indexed="81"/>
            <rFont val="Verdana"/>
            <family val="2"/>
          </rPr>
          <t xml:space="preserve"> (i.e. if one condition formula evaluates to TRUE, all others must evaluate to FALSE)
</t>
        </r>
      </text>
    </comment>
    <comment ref="AF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AG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 ref="AH33" authorId="0" shapeId="0">
      <text>
        <r>
          <rPr>
            <sz val="11"/>
            <color indexed="81"/>
            <rFont val="Verdana"/>
            <family val="2"/>
          </rPr>
          <t xml:space="preserve">If desired, enter the next wobbler number to jump to with this decision or conditional tier. If left blank, the next wobbler in line will be activated.
</t>
        </r>
      </text>
    </comment>
  </commentList>
</comments>
</file>

<file path=xl/comments2.xml><?xml version="1.0" encoding="utf-8"?>
<comments xmlns="http://schemas.openxmlformats.org/spreadsheetml/2006/main">
  <authors>
    <author>Adam Aranyos</author>
  </authors>
  <commentList>
    <comment ref="D32" authorId="0" shapeId="0">
      <text>
        <r>
          <rPr>
            <sz val="10"/>
            <color indexed="81"/>
            <rFont val="Verdana"/>
            <family val="2"/>
          </rPr>
          <t>Required for "relative" and "relative change" drivers only</t>
        </r>
      </text>
    </comment>
    <comment ref="AD3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3" authorId="0" shapeId="0">
      <text>
        <r>
          <rPr>
            <sz val="10"/>
            <color indexed="81"/>
            <rFont val="Verdana"/>
            <family val="2"/>
          </rPr>
          <t>Required for "absolute" drivers only</t>
        </r>
      </text>
    </comment>
    <comment ref="D34" authorId="0" shapeId="0">
      <text>
        <r>
          <rPr>
            <sz val="10"/>
            <color indexed="81"/>
            <rFont val="Verdana"/>
            <family val="2"/>
          </rPr>
          <t>Required for "relative" and "relative change" drivers only</t>
        </r>
      </text>
    </comment>
    <comment ref="P34" authorId="0" shapeId="0">
      <text>
        <r>
          <rPr>
            <sz val="10"/>
            <color indexed="81"/>
            <rFont val="Verdana"/>
            <family val="2"/>
          </rPr>
          <t>+1 = higher is better
-1 = lower is better</t>
        </r>
      </text>
    </comment>
    <comment ref="D35"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37" authorId="0" shapeId="0">
      <text>
        <r>
          <rPr>
            <sz val="10"/>
            <color indexed="81"/>
            <rFont val="Verdana"/>
            <family val="2"/>
          </rPr>
          <t>Required for "relative" and "relative change" drivers only</t>
        </r>
      </text>
    </comment>
    <comment ref="Y3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3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3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8" authorId="0" shapeId="0">
      <text>
        <r>
          <rPr>
            <sz val="10"/>
            <color indexed="81"/>
            <rFont val="Verdana"/>
            <family val="2"/>
          </rPr>
          <t>Required for "absolute" drivers only</t>
        </r>
      </text>
    </comment>
    <comment ref="D39" authorId="0" shapeId="0">
      <text>
        <r>
          <rPr>
            <sz val="10"/>
            <color indexed="81"/>
            <rFont val="Verdana"/>
            <family val="2"/>
          </rPr>
          <t>Required for "relative" and "relative change" drivers only</t>
        </r>
      </text>
    </comment>
    <comment ref="P39" authorId="0" shapeId="0">
      <text>
        <r>
          <rPr>
            <sz val="10"/>
            <color indexed="81"/>
            <rFont val="Verdana"/>
            <family val="2"/>
          </rPr>
          <t>+1 = higher is better
-1 = lower is better</t>
        </r>
      </text>
    </comment>
    <comment ref="D40"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2" authorId="0" shapeId="0">
      <text>
        <r>
          <rPr>
            <sz val="10"/>
            <color indexed="81"/>
            <rFont val="Verdana"/>
            <family val="2"/>
          </rPr>
          <t>Required for "relative" and "relative change" drivers only</t>
        </r>
      </text>
    </comment>
    <comment ref="Y4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3" authorId="0" shapeId="0">
      <text>
        <r>
          <rPr>
            <sz val="10"/>
            <color indexed="81"/>
            <rFont val="Verdana"/>
            <family val="2"/>
          </rPr>
          <t>Required for "absolute" drivers only</t>
        </r>
      </text>
    </comment>
    <comment ref="D44" authorId="0" shapeId="0">
      <text>
        <r>
          <rPr>
            <sz val="10"/>
            <color indexed="81"/>
            <rFont val="Verdana"/>
            <family val="2"/>
          </rPr>
          <t>Required for "relative" and "relative change" drivers only</t>
        </r>
      </text>
    </comment>
    <comment ref="P44" authorId="0" shapeId="0">
      <text>
        <r>
          <rPr>
            <sz val="10"/>
            <color indexed="81"/>
            <rFont val="Verdana"/>
            <family val="2"/>
          </rPr>
          <t>+1 = higher is better
-1 = lower is better</t>
        </r>
      </text>
    </comment>
    <comment ref="D45"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7" authorId="0" shapeId="0">
      <text>
        <r>
          <rPr>
            <sz val="10"/>
            <color indexed="81"/>
            <rFont val="Verdana"/>
            <family val="2"/>
          </rPr>
          <t>Required for "relative" and "relative change" drivers only</t>
        </r>
      </text>
    </comment>
    <comment ref="Y4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8" authorId="0" shapeId="0">
      <text>
        <r>
          <rPr>
            <sz val="10"/>
            <color indexed="81"/>
            <rFont val="Verdana"/>
            <family val="2"/>
          </rPr>
          <t>Required for "absolute" drivers only</t>
        </r>
      </text>
    </comment>
    <comment ref="D49" authorId="0" shapeId="0">
      <text>
        <r>
          <rPr>
            <sz val="10"/>
            <color indexed="81"/>
            <rFont val="Verdana"/>
            <family val="2"/>
          </rPr>
          <t>Required for "relative" and "relative change" drivers only</t>
        </r>
      </text>
    </comment>
    <comment ref="P49" authorId="0" shapeId="0">
      <text>
        <r>
          <rPr>
            <sz val="10"/>
            <color indexed="81"/>
            <rFont val="Verdana"/>
            <family val="2"/>
          </rPr>
          <t>+1 = higher is better
-1 = lower is better</t>
        </r>
      </text>
    </comment>
    <comment ref="D50"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2" authorId="0" shapeId="0">
      <text>
        <r>
          <rPr>
            <sz val="10"/>
            <color indexed="81"/>
            <rFont val="Verdana"/>
            <family val="2"/>
          </rPr>
          <t>Required for "relative" and "relative change" drivers only</t>
        </r>
      </text>
    </comment>
    <comment ref="Y5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3" authorId="0" shapeId="0">
      <text>
        <r>
          <rPr>
            <sz val="10"/>
            <color indexed="81"/>
            <rFont val="Verdana"/>
            <family val="2"/>
          </rPr>
          <t>Required for "absolute" drivers only</t>
        </r>
      </text>
    </comment>
    <comment ref="D54" authorId="0" shapeId="0">
      <text>
        <r>
          <rPr>
            <sz val="10"/>
            <color indexed="81"/>
            <rFont val="Verdana"/>
            <family val="2"/>
          </rPr>
          <t>Required for "relative" and "relative change" drivers only</t>
        </r>
      </text>
    </comment>
    <comment ref="P54" authorId="0" shapeId="0">
      <text>
        <r>
          <rPr>
            <sz val="10"/>
            <color indexed="81"/>
            <rFont val="Verdana"/>
            <family val="2"/>
          </rPr>
          <t>+1 = higher is better
-1 = lower is better</t>
        </r>
      </text>
    </comment>
    <comment ref="D55"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7" authorId="0" shapeId="0">
      <text>
        <r>
          <rPr>
            <sz val="10"/>
            <color indexed="81"/>
            <rFont val="Verdana"/>
            <family val="2"/>
          </rPr>
          <t>Required for "relative" and "relative change" drivers only</t>
        </r>
      </text>
    </comment>
    <comment ref="Y5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8" authorId="0" shapeId="0">
      <text>
        <r>
          <rPr>
            <sz val="10"/>
            <color indexed="81"/>
            <rFont val="Verdana"/>
            <family val="2"/>
          </rPr>
          <t>Required for "absolute" drivers only</t>
        </r>
      </text>
    </comment>
    <comment ref="D59" authorId="0" shapeId="0">
      <text>
        <r>
          <rPr>
            <sz val="10"/>
            <color indexed="81"/>
            <rFont val="Verdana"/>
            <family val="2"/>
          </rPr>
          <t>Required for "relative" and "relative change" drivers only</t>
        </r>
      </text>
    </comment>
    <comment ref="P59" authorId="0" shapeId="0">
      <text>
        <r>
          <rPr>
            <sz val="10"/>
            <color indexed="81"/>
            <rFont val="Verdana"/>
            <family val="2"/>
          </rPr>
          <t>+1 = higher is better
-1 = lower is better</t>
        </r>
      </text>
    </comment>
    <comment ref="D60"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2" authorId="0" shapeId="0">
      <text>
        <r>
          <rPr>
            <sz val="10"/>
            <color indexed="81"/>
            <rFont val="Verdana"/>
            <family val="2"/>
          </rPr>
          <t>Required for "relative" and "relative change" drivers only</t>
        </r>
      </text>
    </comment>
    <comment ref="Y6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3" authorId="0" shapeId="0">
      <text>
        <r>
          <rPr>
            <sz val="10"/>
            <color indexed="81"/>
            <rFont val="Verdana"/>
            <family val="2"/>
          </rPr>
          <t>Required for "absolute" drivers only</t>
        </r>
      </text>
    </comment>
    <comment ref="D64" authorId="0" shapeId="0">
      <text>
        <r>
          <rPr>
            <sz val="10"/>
            <color indexed="81"/>
            <rFont val="Verdana"/>
            <family val="2"/>
          </rPr>
          <t>Required for "relative" and "relative change" drivers only</t>
        </r>
      </text>
    </comment>
    <comment ref="P64" authorId="0" shapeId="0">
      <text>
        <r>
          <rPr>
            <sz val="10"/>
            <color indexed="81"/>
            <rFont val="Verdana"/>
            <family val="2"/>
          </rPr>
          <t>+1 = higher is better
-1 = lower is better</t>
        </r>
      </text>
    </comment>
    <comment ref="D65"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7" authorId="0" shapeId="0">
      <text>
        <r>
          <rPr>
            <sz val="10"/>
            <color indexed="81"/>
            <rFont val="Verdana"/>
            <family val="2"/>
          </rPr>
          <t>Required for "relative" and "relative change" drivers only</t>
        </r>
      </text>
    </comment>
    <comment ref="Y6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8" authorId="0" shapeId="0">
      <text>
        <r>
          <rPr>
            <sz val="10"/>
            <color indexed="81"/>
            <rFont val="Verdana"/>
            <family val="2"/>
          </rPr>
          <t>Required for "absolute" drivers only</t>
        </r>
      </text>
    </comment>
    <comment ref="D69" authorId="0" shapeId="0">
      <text>
        <r>
          <rPr>
            <sz val="10"/>
            <color indexed="81"/>
            <rFont val="Verdana"/>
            <family val="2"/>
          </rPr>
          <t>Required for "relative" and "relative change" drivers only</t>
        </r>
      </text>
    </comment>
    <comment ref="P69" authorId="0" shapeId="0">
      <text>
        <r>
          <rPr>
            <sz val="10"/>
            <color indexed="81"/>
            <rFont val="Verdana"/>
            <family val="2"/>
          </rPr>
          <t>+1 = higher is better
-1 = lower is better</t>
        </r>
      </text>
    </comment>
    <comment ref="D70"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2" authorId="0" shapeId="0">
      <text>
        <r>
          <rPr>
            <sz val="10"/>
            <color indexed="81"/>
            <rFont val="Verdana"/>
            <family val="2"/>
          </rPr>
          <t>Required for "relative" and "relative change" drivers only</t>
        </r>
      </text>
    </comment>
    <comment ref="Y7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2"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2"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3" authorId="0" shapeId="0">
      <text>
        <r>
          <rPr>
            <sz val="10"/>
            <color indexed="81"/>
            <rFont val="Verdana"/>
            <family val="2"/>
          </rPr>
          <t>Required for "absolute" drivers only</t>
        </r>
      </text>
    </comment>
    <comment ref="D74" authorId="0" shapeId="0">
      <text>
        <r>
          <rPr>
            <sz val="10"/>
            <color indexed="81"/>
            <rFont val="Verdana"/>
            <family val="2"/>
          </rPr>
          <t>Required for "relative" and "relative change" drivers only</t>
        </r>
      </text>
    </comment>
    <comment ref="P74" authorId="0" shapeId="0">
      <text>
        <r>
          <rPr>
            <sz val="10"/>
            <color indexed="81"/>
            <rFont val="Verdana"/>
            <family val="2"/>
          </rPr>
          <t>+1 = higher is better
-1 = lower is better</t>
        </r>
      </text>
    </comment>
    <comment ref="D75"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7" authorId="0" shapeId="0">
      <text>
        <r>
          <rPr>
            <sz val="10"/>
            <color indexed="81"/>
            <rFont val="Verdana"/>
            <family val="2"/>
          </rPr>
          <t>Required for "relative" and "relative change" drivers only</t>
        </r>
      </text>
    </comment>
    <comment ref="Y7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7"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7"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8" authorId="0" shapeId="0">
      <text>
        <r>
          <rPr>
            <sz val="10"/>
            <color indexed="81"/>
            <rFont val="Verdana"/>
            <family val="2"/>
          </rPr>
          <t>Required for "absolute" drivers only</t>
        </r>
      </text>
    </comment>
    <comment ref="D79" authorId="0" shapeId="0">
      <text>
        <r>
          <rPr>
            <sz val="10"/>
            <color indexed="81"/>
            <rFont val="Verdana"/>
            <family val="2"/>
          </rPr>
          <t>Required for "relative" and "relative change" drivers only</t>
        </r>
      </text>
    </comment>
    <comment ref="P79" authorId="0" shapeId="0">
      <text>
        <r>
          <rPr>
            <sz val="10"/>
            <color indexed="81"/>
            <rFont val="Verdana"/>
            <family val="2"/>
          </rPr>
          <t>+1 = higher is better
-1 = lower is better</t>
        </r>
      </text>
    </comment>
    <comment ref="D80"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List>
</comments>
</file>

<file path=xl/comments3.xml><?xml version="1.0" encoding="utf-8"?>
<comments xmlns="http://schemas.openxmlformats.org/spreadsheetml/2006/main">
  <authors>
    <author>Adam Aranyos</author>
  </authors>
  <commentList>
    <comment ref="D31" authorId="0" shapeId="0">
      <text>
        <r>
          <rPr>
            <sz val="10"/>
            <color indexed="81"/>
            <rFont val="Verdana"/>
            <family val="2"/>
          </rPr>
          <t>Required for "relative" and "relative change" drivers only</t>
        </r>
      </text>
    </comment>
    <comment ref="AD3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2" authorId="0" shapeId="0">
      <text>
        <r>
          <rPr>
            <sz val="10"/>
            <color indexed="81"/>
            <rFont val="Verdana"/>
            <family val="2"/>
          </rPr>
          <t>Required for "absolute" drivers only</t>
        </r>
      </text>
    </comment>
    <comment ref="D33" authorId="0" shapeId="0">
      <text>
        <r>
          <rPr>
            <sz val="10"/>
            <color indexed="81"/>
            <rFont val="Verdana"/>
            <family val="2"/>
          </rPr>
          <t>Required for "relative" and "relative change" drivers only</t>
        </r>
      </text>
    </comment>
    <comment ref="P33" authorId="0" shapeId="0">
      <text>
        <r>
          <rPr>
            <sz val="10"/>
            <color indexed="81"/>
            <rFont val="Verdana"/>
            <family val="2"/>
          </rPr>
          <t>+1 = higher is better
-1 = lower is better</t>
        </r>
      </text>
    </comment>
    <comment ref="D3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36" authorId="0" shapeId="0">
      <text>
        <r>
          <rPr>
            <sz val="10"/>
            <color indexed="81"/>
            <rFont val="Verdana"/>
            <family val="2"/>
          </rPr>
          <t>Required for "relative" and "relative change" drivers only</t>
        </r>
      </text>
    </comment>
    <comment ref="Y3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3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3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7" authorId="0" shapeId="0">
      <text>
        <r>
          <rPr>
            <sz val="10"/>
            <color indexed="81"/>
            <rFont val="Verdana"/>
            <family val="2"/>
          </rPr>
          <t>Required for "absolute" drivers only</t>
        </r>
      </text>
    </comment>
    <comment ref="D38" authorId="0" shapeId="0">
      <text>
        <r>
          <rPr>
            <sz val="10"/>
            <color indexed="81"/>
            <rFont val="Verdana"/>
            <family val="2"/>
          </rPr>
          <t>Required for "relative" and "relative change" drivers only</t>
        </r>
      </text>
    </comment>
    <comment ref="P38" authorId="0" shapeId="0">
      <text>
        <r>
          <rPr>
            <sz val="10"/>
            <color indexed="81"/>
            <rFont val="Verdana"/>
            <family val="2"/>
          </rPr>
          <t>+1 = higher is better
-1 = lower is better</t>
        </r>
      </text>
    </comment>
    <comment ref="D3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1" authorId="0" shapeId="0">
      <text>
        <r>
          <rPr>
            <sz val="10"/>
            <color indexed="81"/>
            <rFont val="Verdana"/>
            <family val="2"/>
          </rPr>
          <t>Required for "relative" and "relative change" drivers only</t>
        </r>
      </text>
    </comment>
    <comment ref="Y4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2" authorId="0" shapeId="0">
      <text>
        <r>
          <rPr>
            <sz val="10"/>
            <color indexed="81"/>
            <rFont val="Verdana"/>
            <family val="2"/>
          </rPr>
          <t>Required for "absolute" drivers only</t>
        </r>
      </text>
    </comment>
    <comment ref="D43" authorId="0" shapeId="0">
      <text>
        <r>
          <rPr>
            <sz val="10"/>
            <color indexed="81"/>
            <rFont val="Verdana"/>
            <family val="2"/>
          </rPr>
          <t>Required for "relative" and "relative change" drivers only</t>
        </r>
      </text>
    </comment>
    <comment ref="P43" authorId="0" shapeId="0">
      <text>
        <r>
          <rPr>
            <sz val="10"/>
            <color indexed="81"/>
            <rFont val="Verdana"/>
            <family val="2"/>
          </rPr>
          <t>+1 = higher is better
-1 = lower is better</t>
        </r>
      </text>
    </comment>
    <comment ref="D4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6" authorId="0" shapeId="0">
      <text>
        <r>
          <rPr>
            <sz val="10"/>
            <color indexed="81"/>
            <rFont val="Verdana"/>
            <family val="2"/>
          </rPr>
          <t>Required for "relative" and "relative change" drivers only</t>
        </r>
      </text>
    </comment>
    <comment ref="Y4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7" authorId="0" shapeId="0">
      <text>
        <r>
          <rPr>
            <sz val="10"/>
            <color indexed="81"/>
            <rFont val="Verdana"/>
            <family val="2"/>
          </rPr>
          <t>Required for "absolute" drivers only</t>
        </r>
      </text>
    </comment>
    <comment ref="D48" authorId="0" shapeId="0">
      <text>
        <r>
          <rPr>
            <sz val="10"/>
            <color indexed="81"/>
            <rFont val="Verdana"/>
            <family val="2"/>
          </rPr>
          <t>Required for "relative" and "relative change" drivers only</t>
        </r>
      </text>
    </comment>
    <comment ref="P48" authorId="0" shapeId="0">
      <text>
        <r>
          <rPr>
            <sz val="10"/>
            <color indexed="81"/>
            <rFont val="Verdana"/>
            <family val="2"/>
          </rPr>
          <t>+1 = higher is better
-1 = lower is better</t>
        </r>
      </text>
    </comment>
    <comment ref="D4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1" authorId="0" shapeId="0">
      <text>
        <r>
          <rPr>
            <sz val="10"/>
            <color indexed="81"/>
            <rFont val="Verdana"/>
            <family val="2"/>
          </rPr>
          <t>Required for "relative" and "relative change" drivers only</t>
        </r>
      </text>
    </comment>
    <comment ref="Y5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2" authorId="0" shapeId="0">
      <text>
        <r>
          <rPr>
            <sz val="10"/>
            <color indexed="81"/>
            <rFont val="Verdana"/>
            <family val="2"/>
          </rPr>
          <t>Required for "absolute" drivers only</t>
        </r>
      </text>
    </comment>
    <comment ref="D53" authorId="0" shapeId="0">
      <text>
        <r>
          <rPr>
            <sz val="10"/>
            <color indexed="81"/>
            <rFont val="Verdana"/>
            <family val="2"/>
          </rPr>
          <t>Required for "relative" and "relative change" drivers only</t>
        </r>
      </text>
    </comment>
    <comment ref="P53" authorId="0" shapeId="0">
      <text>
        <r>
          <rPr>
            <sz val="10"/>
            <color indexed="81"/>
            <rFont val="Verdana"/>
            <family val="2"/>
          </rPr>
          <t>+1 = higher is better
-1 = lower is better</t>
        </r>
      </text>
    </comment>
    <comment ref="D5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6" authorId="0" shapeId="0">
      <text>
        <r>
          <rPr>
            <sz val="10"/>
            <color indexed="81"/>
            <rFont val="Verdana"/>
            <family val="2"/>
          </rPr>
          <t>Required for "relative" and "relative change" drivers only</t>
        </r>
      </text>
    </comment>
    <comment ref="Y5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7" authorId="0" shapeId="0">
      <text>
        <r>
          <rPr>
            <sz val="10"/>
            <color indexed="81"/>
            <rFont val="Verdana"/>
            <family val="2"/>
          </rPr>
          <t>Required for "absolute" drivers only</t>
        </r>
      </text>
    </comment>
    <comment ref="D58" authorId="0" shapeId="0">
      <text>
        <r>
          <rPr>
            <sz val="10"/>
            <color indexed="81"/>
            <rFont val="Verdana"/>
            <family val="2"/>
          </rPr>
          <t>Required for "relative" and "relative change" drivers only</t>
        </r>
      </text>
    </comment>
    <comment ref="P58" authorId="0" shapeId="0">
      <text>
        <r>
          <rPr>
            <sz val="10"/>
            <color indexed="81"/>
            <rFont val="Verdana"/>
            <family val="2"/>
          </rPr>
          <t>+1 = higher is better
-1 = lower is better</t>
        </r>
      </text>
    </comment>
    <comment ref="D5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1" authorId="0" shapeId="0">
      <text>
        <r>
          <rPr>
            <sz val="10"/>
            <color indexed="81"/>
            <rFont val="Verdana"/>
            <family val="2"/>
          </rPr>
          <t>Required for "relative" and "relative change" drivers only</t>
        </r>
      </text>
    </comment>
    <comment ref="Y6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2" authorId="0" shapeId="0">
      <text>
        <r>
          <rPr>
            <sz val="10"/>
            <color indexed="81"/>
            <rFont val="Verdana"/>
            <family val="2"/>
          </rPr>
          <t>Required for "absolute" drivers only</t>
        </r>
      </text>
    </comment>
    <comment ref="D63" authorId="0" shapeId="0">
      <text>
        <r>
          <rPr>
            <sz val="10"/>
            <color indexed="81"/>
            <rFont val="Verdana"/>
            <family val="2"/>
          </rPr>
          <t>Required for "relative" and "relative change" drivers only</t>
        </r>
      </text>
    </comment>
    <comment ref="P63" authorId="0" shapeId="0">
      <text>
        <r>
          <rPr>
            <sz val="10"/>
            <color indexed="81"/>
            <rFont val="Verdana"/>
            <family val="2"/>
          </rPr>
          <t>+1 = higher is better
-1 = lower is better</t>
        </r>
      </text>
    </comment>
    <comment ref="D6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6" authorId="0" shapeId="0">
      <text>
        <r>
          <rPr>
            <sz val="10"/>
            <color indexed="81"/>
            <rFont val="Verdana"/>
            <family val="2"/>
          </rPr>
          <t>Required for "relative" and "relative change" drivers only</t>
        </r>
      </text>
    </comment>
    <comment ref="Y6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7" authorId="0" shapeId="0">
      <text>
        <r>
          <rPr>
            <sz val="10"/>
            <color indexed="81"/>
            <rFont val="Verdana"/>
            <family val="2"/>
          </rPr>
          <t>Required for "absolute" drivers only</t>
        </r>
      </text>
    </comment>
    <comment ref="D68" authorId="0" shapeId="0">
      <text>
        <r>
          <rPr>
            <sz val="10"/>
            <color indexed="81"/>
            <rFont val="Verdana"/>
            <family val="2"/>
          </rPr>
          <t>Required for "relative" and "relative change" drivers only</t>
        </r>
      </text>
    </comment>
    <comment ref="P68" authorId="0" shapeId="0">
      <text>
        <r>
          <rPr>
            <sz val="10"/>
            <color indexed="81"/>
            <rFont val="Verdana"/>
            <family val="2"/>
          </rPr>
          <t>+1 = higher is better
-1 = lower is better</t>
        </r>
      </text>
    </comment>
    <comment ref="D6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1" authorId="0" shapeId="0">
      <text>
        <r>
          <rPr>
            <sz val="10"/>
            <color indexed="81"/>
            <rFont val="Verdana"/>
            <family val="2"/>
          </rPr>
          <t>Required for "relative" and "relative change" drivers only</t>
        </r>
      </text>
    </comment>
    <comment ref="Y7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2" authorId="0" shapeId="0">
      <text>
        <r>
          <rPr>
            <sz val="10"/>
            <color indexed="81"/>
            <rFont val="Verdana"/>
            <family val="2"/>
          </rPr>
          <t>Required for "absolute" drivers only</t>
        </r>
      </text>
    </comment>
    <comment ref="D73" authorId="0" shapeId="0">
      <text>
        <r>
          <rPr>
            <sz val="10"/>
            <color indexed="81"/>
            <rFont val="Verdana"/>
            <family val="2"/>
          </rPr>
          <t>Required for "relative" and "relative change" drivers only</t>
        </r>
      </text>
    </comment>
    <comment ref="P73" authorId="0" shapeId="0">
      <text>
        <r>
          <rPr>
            <sz val="10"/>
            <color indexed="81"/>
            <rFont val="Verdana"/>
            <family val="2"/>
          </rPr>
          <t>+1 = higher is better
-1 = lower is better</t>
        </r>
      </text>
    </comment>
    <comment ref="D7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6" authorId="0" shapeId="0">
      <text>
        <r>
          <rPr>
            <sz val="10"/>
            <color indexed="81"/>
            <rFont val="Verdana"/>
            <family val="2"/>
          </rPr>
          <t>Required for "relative" and "relative change" drivers only</t>
        </r>
      </text>
    </comment>
    <comment ref="Y7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7" authorId="0" shapeId="0">
      <text>
        <r>
          <rPr>
            <sz val="10"/>
            <color indexed="81"/>
            <rFont val="Verdana"/>
            <family val="2"/>
          </rPr>
          <t>Required for "absolute" drivers only</t>
        </r>
      </text>
    </comment>
    <comment ref="D78" authorId="0" shapeId="0">
      <text>
        <r>
          <rPr>
            <sz val="10"/>
            <color indexed="81"/>
            <rFont val="Verdana"/>
            <family val="2"/>
          </rPr>
          <t>Required for "relative" and "relative change" drivers only</t>
        </r>
      </text>
    </comment>
    <comment ref="P78" authorId="0" shapeId="0">
      <text>
        <r>
          <rPr>
            <sz val="10"/>
            <color indexed="81"/>
            <rFont val="Verdana"/>
            <family val="2"/>
          </rPr>
          <t>+1 = higher is better
-1 = lower is better</t>
        </r>
      </text>
    </comment>
    <comment ref="D7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List>
</comments>
</file>

<file path=xl/comments4.xml><?xml version="1.0" encoding="utf-8"?>
<comments xmlns="http://schemas.openxmlformats.org/spreadsheetml/2006/main">
  <authors>
    <author>Adam Aranyos</author>
  </authors>
  <commentList>
    <comment ref="D31" authorId="0" shapeId="0">
      <text>
        <r>
          <rPr>
            <sz val="10"/>
            <color indexed="81"/>
            <rFont val="Verdana"/>
            <family val="2"/>
          </rPr>
          <t>Required for "relative" and "relative change" drivers only</t>
        </r>
      </text>
    </comment>
    <comment ref="AD3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2" authorId="0" shapeId="0">
      <text>
        <r>
          <rPr>
            <sz val="10"/>
            <color indexed="81"/>
            <rFont val="Verdana"/>
            <family val="2"/>
          </rPr>
          <t>Required for "absolute" drivers only</t>
        </r>
      </text>
    </comment>
    <comment ref="D33" authorId="0" shapeId="0">
      <text>
        <r>
          <rPr>
            <sz val="10"/>
            <color indexed="81"/>
            <rFont val="Verdana"/>
            <family val="2"/>
          </rPr>
          <t>Required for "relative" and "relative change" drivers only</t>
        </r>
      </text>
    </comment>
    <comment ref="P33" authorId="0" shapeId="0">
      <text>
        <r>
          <rPr>
            <sz val="10"/>
            <color indexed="81"/>
            <rFont val="Verdana"/>
            <family val="2"/>
          </rPr>
          <t>+1 = higher is better
-1 = lower is better</t>
        </r>
      </text>
    </comment>
    <comment ref="D3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36" authorId="0" shapeId="0">
      <text>
        <r>
          <rPr>
            <sz val="10"/>
            <color indexed="81"/>
            <rFont val="Verdana"/>
            <family val="2"/>
          </rPr>
          <t>Required for "relative" and "relative change" drivers only</t>
        </r>
      </text>
    </comment>
    <comment ref="Y3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3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3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3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37" authorId="0" shapeId="0">
      <text>
        <r>
          <rPr>
            <sz val="10"/>
            <color indexed="81"/>
            <rFont val="Verdana"/>
            <family val="2"/>
          </rPr>
          <t>Required for "absolute" drivers only</t>
        </r>
      </text>
    </comment>
    <comment ref="D38" authorId="0" shapeId="0">
      <text>
        <r>
          <rPr>
            <sz val="10"/>
            <color indexed="81"/>
            <rFont val="Verdana"/>
            <family val="2"/>
          </rPr>
          <t>Required for "relative" and "relative change" drivers only</t>
        </r>
      </text>
    </comment>
    <comment ref="P38" authorId="0" shapeId="0">
      <text>
        <r>
          <rPr>
            <sz val="10"/>
            <color indexed="81"/>
            <rFont val="Verdana"/>
            <family val="2"/>
          </rPr>
          <t>+1 = higher is better
-1 = lower is better</t>
        </r>
      </text>
    </comment>
    <comment ref="D3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1" authorId="0" shapeId="0">
      <text>
        <r>
          <rPr>
            <sz val="10"/>
            <color indexed="81"/>
            <rFont val="Verdana"/>
            <family val="2"/>
          </rPr>
          <t>Required for "relative" and "relative change" drivers only</t>
        </r>
      </text>
    </comment>
    <comment ref="Y4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2" authorId="0" shapeId="0">
      <text>
        <r>
          <rPr>
            <sz val="10"/>
            <color indexed="81"/>
            <rFont val="Verdana"/>
            <family val="2"/>
          </rPr>
          <t>Required for "absolute" drivers only</t>
        </r>
      </text>
    </comment>
    <comment ref="D43" authorId="0" shapeId="0">
      <text>
        <r>
          <rPr>
            <sz val="10"/>
            <color indexed="81"/>
            <rFont val="Verdana"/>
            <family val="2"/>
          </rPr>
          <t>Required for "relative" and "relative change" drivers only</t>
        </r>
      </text>
    </comment>
    <comment ref="P43" authorId="0" shapeId="0">
      <text>
        <r>
          <rPr>
            <sz val="10"/>
            <color indexed="81"/>
            <rFont val="Verdana"/>
            <family val="2"/>
          </rPr>
          <t>+1 = higher is better
-1 = lower is better</t>
        </r>
      </text>
    </comment>
    <comment ref="D4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46" authorId="0" shapeId="0">
      <text>
        <r>
          <rPr>
            <sz val="10"/>
            <color indexed="81"/>
            <rFont val="Verdana"/>
            <family val="2"/>
          </rPr>
          <t>Required for "relative" and "relative change" drivers only</t>
        </r>
      </text>
    </comment>
    <comment ref="Y4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4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4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4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47" authorId="0" shapeId="0">
      <text>
        <r>
          <rPr>
            <sz val="10"/>
            <color indexed="81"/>
            <rFont val="Verdana"/>
            <family val="2"/>
          </rPr>
          <t>Required for "absolute" drivers only</t>
        </r>
      </text>
    </comment>
    <comment ref="D48" authorId="0" shapeId="0">
      <text>
        <r>
          <rPr>
            <sz val="10"/>
            <color indexed="81"/>
            <rFont val="Verdana"/>
            <family val="2"/>
          </rPr>
          <t>Required for "relative" and "relative change" drivers only</t>
        </r>
      </text>
    </comment>
    <comment ref="P48" authorId="0" shapeId="0">
      <text>
        <r>
          <rPr>
            <sz val="10"/>
            <color indexed="81"/>
            <rFont val="Verdana"/>
            <family val="2"/>
          </rPr>
          <t>+1 = higher is better
-1 = lower is better</t>
        </r>
      </text>
    </comment>
    <comment ref="D4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1" authorId="0" shapeId="0">
      <text>
        <r>
          <rPr>
            <sz val="10"/>
            <color indexed="81"/>
            <rFont val="Verdana"/>
            <family val="2"/>
          </rPr>
          <t>Required for "relative" and "relative change" drivers only</t>
        </r>
      </text>
    </comment>
    <comment ref="Y5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2" authorId="0" shapeId="0">
      <text>
        <r>
          <rPr>
            <sz val="10"/>
            <color indexed="81"/>
            <rFont val="Verdana"/>
            <family val="2"/>
          </rPr>
          <t>Required for "absolute" drivers only</t>
        </r>
      </text>
    </comment>
    <comment ref="D53" authorId="0" shapeId="0">
      <text>
        <r>
          <rPr>
            <sz val="10"/>
            <color indexed="81"/>
            <rFont val="Verdana"/>
            <family val="2"/>
          </rPr>
          <t>Required for "relative" and "relative change" drivers only</t>
        </r>
      </text>
    </comment>
    <comment ref="P53" authorId="0" shapeId="0">
      <text>
        <r>
          <rPr>
            <sz val="10"/>
            <color indexed="81"/>
            <rFont val="Verdana"/>
            <family val="2"/>
          </rPr>
          <t>+1 = higher is better
-1 = lower is better</t>
        </r>
      </text>
    </comment>
    <comment ref="D5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56" authorId="0" shapeId="0">
      <text>
        <r>
          <rPr>
            <sz val="10"/>
            <color indexed="81"/>
            <rFont val="Verdana"/>
            <family val="2"/>
          </rPr>
          <t>Required for "relative" and "relative change" drivers only</t>
        </r>
      </text>
    </comment>
    <comment ref="Y5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5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5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5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57" authorId="0" shapeId="0">
      <text>
        <r>
          <rPr>
            <sz val="10"/>
            <color indexed="81"/>
            <rFont val="Verdana"/>
            <family val="2"/>
          </rPr>
          <t>Required for "absolute" drivers only</t>
        </r>
      </text>
    </comment>
    <comment ref="D58" authorId="0" shapeId="0">
      <text>
        <r>
          <rPr>
            <sz val="10"/>
            <color indexed="81"/>
            <rFont val="Verdana"/>
            <family val="2"/>
          </rPr>
          <t>Required for "relative" and "relative change" drivers only</t>
        </r>
      </text>
    </comment>
    <comment ref="P58" authorId="0" shapeId="0">
      <text>
        <r>
          <rPr>
            <sz val="10"/>
            <color indexed="81"/>
            <rFont val="Verdana"/>
            <family val="2"/>
          </rPr>
          <t>+1 = higher is better
-1 = lower is better</t>
        </r>
      </text>
    </comment>
    <comment ref="D5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1" authorId="0" shapeId="0">
      <text>
        <r>
          <rPr>
            <sz val="10"/>
            <color indexed="81"/>
            <rFont val="Verdana"/>
            <family val="2"/>
          </rPr>
          <t>Required for "relative" and "relative change" drivers only</t>
        </r>
      </text>
    </comment>
    <comment ref="Y6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2" authorId="0" shapeId="0">
      <text>
        <r>
          <rPr>
            <sz val="10"/>
            <color indexed="81"/>
            <rFont val="Verdana"/>
            <family val="2"/>
          </rPr>
          <t>Required for "absolute" drivers only</t>
        </r>
      </text>
    </comment>
    <comment ref="D63" authorId="0" shapeId="0">
      <text>
        <r>
          <rPr>
            <sz val="10"/>
            <color indexed="81"/>
            <rFont val="Verdana"/>
            <family val="2"/>
          </rPr>
          <t>Required for "relative" and "relative change" drivers only</t>
        </r>
      </text>
    </comment>
    <comment ref="P63" authorId="0" shapeId="0">
      <text>
        <r>
          <rPr>
            <sz val="10"/>
            <color indexed="81"/>
            <rFont val="Verdana"/>
            <family val="2"/>
          </rPr>
          <t>+1 = higher is better
-1 = lower is better</t>
        </r>
      </text>
    </comment>
    <comment ref="D6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66" authorId="0" shapeId="0">
      <text>
        <r>
          <rPr>
            <sz val="10"/>
            <color indexed="81"/>
            <rFont val="Verdana"/>
            <family val="2"/>
          </rPr>
          <t>Required for "relative" and "relative change" drivers only</t>
        </r>
      </text>
    </comment>
    <comment ref="Y6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6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6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6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67" authorId="0" shapeId="0">
      <text>
        <r>
          <rPr>
            <sz val="10"/>
            <color indexed="81"/>
            <rFont val="Verdana"/>
            <family val="2"/>
          </rPr>
          <t>Required for "absolute" drivers only</t>
        </r>
      </text>
    </comment>
    <comment ref="D68" authorId="0" shapeId="0">
      <text>
        <r>
          <rPr>
            <sz val="10"/>
            <color indexed="81"/>
            <rFont val="Verdana"/>
            <family val="2"/>
          </rPr>
          <t>Required for "relative" and "relative change" drivers only</t>
        </r>
      </text>
    </comment>
    <comment ref="P68" authorId="0" shapeId="0">
      <text>
        <r>
          <rPr>
            <sz val="10"/>
            <color indexed="81"/>
            <rFont val="Verdana"/>
            <family val="2"/>
          </rPr>
          <t>+1 = higher is better
-1 = lower is better</t>
        </r>
      </text>
    </comment>
    <comment ref="D6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1" authorId="0" shapeId="0">
      <text>
        <r>
          <rPr>
            <sz val="10"/>
            <color indexed="81"/>
            <rFont val="Verdana"/>
            <family val="2"/>
          </rPr>
          <t>Required for "relative" and "relative change" drivers only</t>
        </r>
      </text>
    </comment>
    <comment ref="Y7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1"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1"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2" authorId="0" shapeId="0">
      <text>
        <r>
          <rPr>
            <sz val="10"/>
            <color indexed="81"/>
            <rFont val="Verdana"/>
            <family val="2"/>
          </rPr>
          <t>Required for "absolute" drivers only</t>
        </r>
      </text>
    </comment>
    <comment ref="D73" authorId="0" shapeId="0">
      <text>
        <r>
          <rPr>
            <sz val="10"/>
            <color indexed="81"/>
            <rFont val="Verdana"/>
            <family val="2"/>
          </rPr>
          <t>Required for "relative" and "relative change" drivers only</t>
        </r>
      </text>
    </comment>
    <comment ref="P73" authorId="0" shapeId="0">
      <text>
        <r>
          <rPr>
            <sz val="10"/>
            <color indexed="81"/>
            <rFont val="Verdana"/>
            <family val="2"/>
          </rPr>
          <t>+1 = higher is better
-1 = lower is better</t>
        </r>
      </text>
    </comment>
    <comment ref="D74"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 ref="D76" authorId="0" shapeId="0">
      <text>
        <r>
          <rPr>
            <sz val="10"/>
            <color indexed="81"/>
            <rFont val="Verdana"/>
            <family val="2"/>
          </rPr>
          <t>Required for "relative" and "relative change" drivers only</t>
        </r>
      </text>
    </comment>
    <comment ref="Y7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Z7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AD76" authorId="0" shapeId="0">
      <text>
        <r>
          <rPr>
            <sz val="10"/>
            <color indexed="81"/>
            <rFont val="Verdana"/>
            <family val="2"/>
          </rPr>
          <t xml:space="preserve">Increase to </t>
        </r>
        <r>
          <rPr>
            <b/>
            <sz val="10"/>
            <color indexed="81"/>
            <rFont val="Verdana"/>
            <family val="2"/>
          </rPr>
          <t xml:space="preserve">increase </t>
        </r>
        <r>
          <rPr>
            <sz val="10"/>
            <color indexed="81"/>
            <rFont val="Verdana"/>
            <family val="2"/>
          </rPr>
          <t>driver impact.</t>
        </r>
      </text>
    </comment>
    <comment ref="AE76" authorId="0" shapeId="0">
      <text>
        <r>
          <rPr>
            <sz val="10"/>
            <color indexed="81"/>
            <rFont val="Verdana"/>
            <family val="2"/>
          </rPr>
          <t xml:space="preserve">Increase to </t>
        </r>
        <r>
          <rPr>
            <b/>
            <sz val="10"/>
            <color indexed="81"/>
            <rFont val="Verdana"/>
            <family val="2"/>
          </rPr>
          <t>reduce</t>
        </r>
        <r>
          <rPr>
            <sz val="10"/>
            <color indexed="81"/>
            <rFont val="Verdana"/>
            <family val="2"/>
          </rPr>
          <t xml:space="preserve"> variability.</t>
        </r>
      </text>
    </comment>
    <comment ref="D77" authorId="0" shapeId="0">
      <text>
        <r>
          <rPr>
            <sz val="10"/>
            <color indexed="81"/>
            <rFont val="Verdana"/>
            <family val="2"/>
          </rPr>
          <t>Required for "absolute" drivers only</t>
        </r>
      </text>
    </comment>
    <comment ref="D78" authorId="0" shapeId="0">
      <text>
        <r>
          <rPr>
            <sz val="10"/>
            <color indexed="81"/>
            <rFont val="Verdana"/>
            <family val="2"/>
          </rPr>
          <t>Required for "relative" and "relative change" drivers only</t>
        </r>
      </text>
    </comment>
    <comment ref="P78" authorId="0" shapeId="0">
      <text>
        <r>
          <rPr>
            <sz val="10"/>
            <color indexed="81"/>
            <rFont val="Verdana"/>
            <family val="2"/>
          </rPr>
          <t>+1 = higher is better
-1 = lower is better</t>
        </r>
      </text>
    </comment>
    <comment ref="D79" authorId="0" shapeId="0">
      <text>
        <r>
          <rPr>
            <sz val="10"/>
            <color indexed="81"/>
            <rFont val="Verdana"/>
            <family val="2"/>
          </rPr>
          <t xml:space="preserve">Required for non-linear absolute drivers only. 
</t>
        </r>
        <r>
          <rPr>
            <b/>
            <sz val="10"/>
            <color indexed="81"/>
            <rFont val="Verdana"/>
            <family val="2"/>
          </rPr>
          <t xml:space="preserve">
Pull from Lookup Module.</t>
        </r>
      </text>
    </comment>
  </commentList>
</comments>
</file>

<file path=xl/comments5.xml><?xml version="1.0" encoding="utf-8"?>
<comments xmlns="http://schemas.openxmlformats.org/spreadsheetml/2006/main">
  <authors>
    <author>Adam Aranyos</author>
  </authors>
  <commentList>
    <comment ref="F12" authorId="0" shapeId="0">
      <text>
        <r>
          <rPr>
            <sz val="11"/>
            <color indexed="81"/>
            <rFont val="Verdana"/>
            <family val="2"/>
          </rPr>
          <t>Alter the percentage values in these cells to make quick adjustments to impact tables. 
Base values should be adjusted in the table to the right.</t>
        </r>
      </text>
    </comment>
    <comment ref="G12" authorId="0" shapeId="0">
      <text>
        <r>
          <rPr>
            <sz val="11"/>
            <color indexed="81"/>
            <rFont val="Verdana"/>
            <family val="2"/>
          </rPr>
          <t>Alter the percentage values in these cells to make quick adjustments to impact tables. 
Base values should be adjusted in the table to the right.</t>
        </r>
      </text>
    </comment>
    <comment ref="H12" authorId="0" shapeId="0">
      <text>
        <r>
          <rPr>
            <sz val="11"/>
            <color indexed="81"/>
            <rFont val="Verdana"/>
            <family val="2"/>
          </rPr>
          <t>Alter the percentage values in these cells to make quick adjustments to impact tables. 
Base values should be adjusted in the table to the right.</t>
        </r>
      </text>
    </comment>
    <comment ref="I12" authorId="0" shapeId="0">
      <text>
        <r>
          <rPr>
            <sz val="11"/>
            <color indexed="81"/>
            <rFont val="Verdana"/>
            <family val="2"/>
          </rPr>
          <t>Alter the percentage values in these cells to make quick adjustments to impact tables. 
Base values should be adjusted in the table to the right.</t>
        </r>
      </text>
    </comment>
    <comment ref="J12" authorId="0" shapeId="0">
      <text>
        <r>
          <rPr>
            <sz val="11"/>
            <color indexed="81"/>
            <rFont val="Verdana"/>
            <family val="2"/>
          </rPr>
          <t>Alter the percentage values in these cells to make quick adjustments to impact tables. 
Base values should be adjusted in the table to the right.</t>
        </r>
      </text>
    </comment>
    <comment ref="F34" authorId="0" shapeId="0">
      <text>
        <r>
          <rPr>
            <sz val="11"/>
            <color indexed="81"/>
            <rFont val="Verdana"/>
            <family val="2"/>
          </rPr>
          <t>Alter the percentage values in these cells to make quick adjustments to impact tables. 
Base values should be adjusted in the table to the right.</t>
        </r>
      </text>
    </comment>
    <comment ref="G34" authorId="0" shapeId="0">
      <text>
        <r>
          <rPr>
            <sz val="11"/>
            <color indexed="81"/>
            <rFont val="Verdana"/>
            <family val="2"/>
          </rPr>
          <t>Alter the percentage values in these cells to make quick adjustments to impact tables. 
Base values should be adjusted in the table to the right.</t>
        </r>
      </text>
    </comment>
    <comment ref="H34" authorId="0" shapeId="0">
      <text>
        <r>
          <rPr>
            <sz val="11"/>
            <color indexed="81"/>
            <rFont val="Verdana"/>
            <family val="2"/>
          </rPr>
          <t>Alter the percentage values in these cells to make quick adjustments to impact tables. 
Base values should be adjusted in the table to the right.</t>
        </r>
      </text>
    </comment>
    <comment ref="I34" authorId="0" shapeId="0">
      <text>
        <r>
          <rPr>
            <sz val="11"/>
            <color indexed="81"/>
            <rFont val="Verdana"/>
            <family val="2"/>
          </rPr>
          <t>Alter the percentage values in these cells to make quick adjustments to impact tables. 
Base values should be adjusted in the table to the right.</t>
        </r>
      </text>
    </comment>
    <comment ref="J34" authorId="0" shapeId="0">
      <text>
        <r>
          <rPr>
            <sz val="11"/>
            <color indexed="81"/>
            <rFont val="Verdana"/>
            <family val="2"/>
          </rPr>
          <t>Alter the percentage values in these cells to make quick adjustments to impact tables. 
Base values should be adjusted in the table to the right.</t>
        </r>
      </text>
    </comment>
  </commentList>
</comments>
</file>

<file path=xl/sharedStrings.xml><?xml version="1.0" encoding="utf-8"?>
<sst xmlns="http://schemas.openxmlformats.org/spreadsheetml/2006/main" count="7405" uniqueCount="3341">
  <si>
    <t>core_FilePrefix</t>
  </si>
  <si>
    <t>This is used by the "Filename" macro, to determine what to name files as when saving</t>
  </si>
  <si>
    <t>this specifies what named ranges the tool reset decision macros search for</t>
  </si>
  <si>
    <t>e.g. if the named range on the dec page is "decTeamName" then the reset macro will look for [dec_toolInputPrefix &amp; "TeamName"]</t>
  </si>
  <si>
    <t>dec_ErrorCheck</t>
  </si>
  <si>
    <t>dec_ErrorMessage</t>
  </si>
  <si>
    <t>Decisions</t>
  </si>
  <si>
    <t>Team 1</t>
  </si>
  <si>
    <t>Team 2</t>
  </si>
  <si>
    <t>Team 3</t>
  </si>
  <si>
    <t>Team 4</t>
  </si>
  <si>
    <t>Team 5</t>
  </si>
  <si>
    <t>Formula Reset</t>
  </si>
  <si>
    <t>Tool Reset Every Year</t>
  </si>
  <si>
    <t>Tool Reset Values</t>
  </si>
  <si>
    <t>Dec History</t>
  </si>
  <si>
    <t>dec_Names</t>
  </si>
  <si>
    <t>dec_FormulaReset</t>
  </si>
  <si>
    <t>dec_ToolReset</t>
  </si>
  <si>
    <t>dec_ToolResetValues</t>
  </si>
  <si>
    <t>T1Y1</t>
  </si>
  <si>
    <t>T2Y1</t>
  </si>
  <si>
    <t>T3Y1</t>
  </si>
  <si>
    <t>T4Y1</t>
  </si>
  <si>
    <t>T5Y1</t>
  </si>
  <si>
    <t>T1Y2</t>
  </si>
  <si>
    <t>T2Y2</t>
  </si>
  <si>
    <t>T3Y2</t>
  </si>
  <si>
    <t>T4Y2</t>
  </si>
  <si>
    <t>T5Y2</t>
  </si>
  <si>
    <t>T1Y3</t>
  </si>
  <si>
    <t>T2Y3</t>
  </si>
  <si>
    <t>T3Y3</t>
  </si>
  <si>
    <t>T4Y3</t>
  </si>
  <si>
    <t>T5Y3</t>
  </si>
  <si>
    <t>Paste. Leave This Row Blank</t>
  </si>
  <si>
    <t>dec_PasteY1</t>
  </si>
  <si>
    <t>dec_PasteY2</t>
  </si>
  <si>
    <t>dec_PasteY3</t>
  </si>
  <si>
    <t>Team Name</t>
  </si>
  <si>
    <t>decTeamName</t>
  </si>
  <si>
    <t>Round</t>
  </si>
  <si>
    <t>End of Decisions</t>
  </si>
  <si>
    <t>xxRound</t>
  </si>
  <si>
    <t>dec_TeamName</t>
  </si>
  <si>
    <t>Menu Active</t>
  </si>
  <si>
    <t>Level 1 Menus</t>
  </si>
  <si>
    <t>vbaPopupMenu1Lvl1ItemNumber</t>
  </si>
  <si>
    <t>Level 2 Menus</t>
  </si>
  <si>
    <t>vbaPopupMenu1Lvl2ItemNumber</t>
  </si>
  <si>
    <t>Total</t>
  </si>
  <si>
    <t>vbaPopupMenu1ItemNumber</t>
  </si>
  <si>
    <t>Menu Items</t>
  </si>
  <si>
    <t>Menu Level</t>
  </si>
  <si>
    <t>Title</t>
  </si>
  <si>
    <t>Macro</t>
  </si>
  <si>
    <t>Face Id</t>
  </si>
  <si>
    <t>SimReset</t>
  </si>
  <si>
    <t>vbaPopupMenu1ListLevel</t>
  </si>
  <si>
    <t>vbaPopupMenu1ListTitle</t>
  </si>
  <si>
    <t>vbaPopupMenu1ListMacro</t>
  </si>
  <si>
    <t>vbaPopupMenu1ListFaceID</t>
  </si>
  <si>
    <t>ID</t>
  </si>
  <si>
    <t>Symbol</t>
  </si>
  <si>
    <t>Blank</t>
  </si>
  <si>
    <t>Save</t>
  </si>
  <si>
    <t>Print</t>
  </si>
  <si>
    <t>Cut</t>
  </si>
  <si>
    <t>Paste</t>
  </si>
  <si>
    <t>Open</t>
  </si>
  <si>
    <t>Rotate/Reset</t>
  </si>
  <si>
    <t>Trash</t>
  </si>
  <si>
    <t>Search</t>
  </si>
  <si>
    <t>Do Not Enter</t>
  </si>
  <si>
    <t>Delete (x)</t>
  </si>
  <si>
    <t>=</t>
  </si>
  <si>
    <t>+</t>
  </si>
  <si>
    <t>-</t>
  </si>
  <si>
    <t>70 - 79</t>
  </si>
  <si>
    <t>0-9</t>
  </si>
  <si>
    <t>80-105</t>
  </si>
  <si>
    <t>A-Z</t>
  </si>
  <si>
    <t>cnstSingleQuote</t>
  </si>
  <si>
    <t>cnstDoubleQuote</t>
  </si>
  <si>
    <t>Macro Name</t>
  </si>
  <si>
    <t>Arg 1</t>
  </si>
  <si>
    <t>Arg 2</t>
  </si>
  <si>
    <t>Team Number</t>
  </si>
  <si>
    <t>dec_TeamNumber</t>
  </si>
  <si>
    <t>Connect this to tlTeamName on Intro page</t>
  </si>
  <si>
    <t>Connect this to tlTeamNumber on Intro page</t>
  </si>
  <si>
    <t>dec_Round</t>
  </si>
  <si>
    <t>Connect this to xxRound on your Controls page</t>
  </si>
  <si>
    <t>Reset Dec Formulae</t>
  </si>
  <si>
    <t>DecResetFormulae</t>
  </si>
  <si>
    <t>Reset Tool Decs</t>
  </si>
  <si>
    <t>DecResetToolDecs</t>
  </si>
  <si>
    <t>dec_ToolResetR0</t>
  </si>
  <si>
    <t>Warning messages to display when exporting decisions</t>
  </si>
  <si>
    <t>Warning</t>
  </si>
  <si>
    <t>Formatted Message</t>
  </si>
  <si>
    <t>dec_LineBreak</t>
  </si>
  <si>
    <t>Show Error Message</t>
  </si>
  <si>
    <t>DecShowErrorMessage</t>
  </si>
  <si>
    <t>Constants</t>
  </si>
  <si>
    <t>Opening Balances</t>
  </si>
  <si>
    <t>obal_ResetR0</t>
  </si>
  <si>
    <t>obal_Paste</t>
  </si>
  <si>
    <t>End of Opening Balances</t>
  </si>
  <si>
    <t>obal_End</t>
  </si>
  <si>
    <t>Closing Balances</t>
  </si>
  <si>
    <t>Reset R0 Balances</t>
  </si>
  <si>
    <t>Outputs</t>
  </si>
  <si>
    <t>Inputs</t>
  </si>
  <si>
    <t>Tightening</t>
  </si>
  <si>
    <t>Active</t>
  </si>
  <si>
    <t>Driver</t>
  </si>
  <si>
    <t>Revenue</t>
  </si>
  <si>
    <t>Driver 3</t>
  </si>
  <si>
    <t>Calculations</t>
  </si>
  <si>
    <t>hood_OnHoodCloseGoTo</t>
  </si>
  <si>
    <t>hood_ToolPrefix</t>
  </si>
  <si>
    <t>Screen</t>
  </si>
  <si>
    <t>xxSim0Tool1</t>
  </si>
  <si>
    <t>xxIndexTeam</t>
  </si>
  <si>
    <t>Dashboard 1</t>
  </si>
  <si>
    <t>DB_Dashboard1</t>
  </si>
  <si>
    <t>Dashboard 2</t>
  </si>
  <si>
    <t>DB_Dashboard2</t>
  </si>
  <si>
    <t>Dashboard 3</t>
  </si>
  <si>
    <t>DB_Dashboard3</t>
  </si>
  <si>
    <t>White Space Length</t>
  </si>
  <si>
    <t>DB_WhiteSpaceLength</t>
  </si>
  <si>
    <t>Large White Space Length</t>
  </si>
  <si>
    <t>DB_LargeWhiteSpaceLength</t>
  </si>
  <si>
    <t>Sub Value Space Length</t>
  </si>
  <si>
    <t>DB_SubWhiteSpaceLength</t>
  </si>
  <si>
    <t xml:space="preserve">White Space </t>
  </si>
  <si>
    <t>DB_WhiteSpace</t>
  </si>
  <si>
    <t>Large White Space</t>
  </si>
  <si>
    <t>DB_LargeWhiteSpace</t>
  </si>
  <si>
    <t>Sub Value Space</t>
  </si>
  <si>
    <t>DB_SubWhiteSpace</t>
  </si>
  <si>
    <t>KPI Name</t>
  </si>
  <si>
    <t>Raw Value</t>
  </si>
  <si>
    <t>Formatted Value</t>
  </si>
  <si>
    <t>Sub Raw Value</t>
  </si>
  <si>
    <t>Formatted Sub Raw Value</t>
  </si>
  <si>
    <t>String</t>
  </si>
  <si>
    <t>Active String</t>
  </si>
  <si>
    <t>DB_arrayDash1Names</t>
  </si>
  <si>
    <t>DB_arrayDash1Values</t>
  </si>
  <si>
    <t>DB_arrayDash2Names</t>
  </si>
  <si>
    <t>DB_arrayDash2Values</t>
  </si>
  <si>
    <t>DB_arrayDash3Names</t>
  </si>
  <si>
    <t>DB_arrayDash3Values</t>
  </si>
  <si>
    <t>Index</t>
  </si>
  <si>
    <t>Code</t>
  </si>
  <si>
    <t>Name</t>
  </si>
  <si>
    <t>Available Count</t>
  </si>
  <si>
    <t>Strategic Initiatives</t>
  </si>
  <si>
    <t>Glossary</t>
  </si>
  <si>
    <t>English</t>
  </si>
  <si>
    <t>Language 2</t>
  </si>
  <si>
    <t>Language 3</t>
  </si>
  <si>
    <t>glossary_Language</t>
  </si>
  <si>
    <t>nmTeamName</t>
  </si>
  <si>
    <t>nmTeamNumber</t>
  </si>
  <si>
    <t>nmRound</t>
  </si>
  <si>
    <t>nmInitiatives</t>
  </si>
  <si>
    <t>FTEs</t>
  </si>
  <si>
    <t>cnstMillion</t>
  </si>
  <si>
    <t>Feedback</t>
  </si>
  <si>
    <t>feedback_FeedbackSheetName</t>
  </si>
  <si>
    <t>FeedbackTS</t>
  </si>
  <si>
    <t>feedback_TimeSeriesFeedbackSheetName</t>
  </si>
  <si>
    <t>feedback_FeedbackFileName</t>
  </si>
  <si>
    <t>R0</t>
  </si>
  <si>
    <t>R1</t>
  </si>
  <si>
    <t>R2</t>
  </si>
  <si>
    <t>R3</t>
  </si>
  <si>
    <t>Instructions</t>
  </si>
  <si>
    <t>sim_OnResetGoTo</t>
  </si>
  <si>
    <t>This named range determines which page to go to once the sim has been reset; by default it goes to the "Instructions" page you have just created</t>
  </si>
  <si>
    <t>Leave this blank if you do not want to specify a page to go to</t>
  </si>
  <si>
    <t>SimNewRound</t>
  </si>
  <si>
    <t>nmProd1</t>
  </si>
  <si>
    <t>nmPrice</t>
  </si>
  <si>
    <t>Price</t>
  </si>
  <si>
    <t>nmForecast</t>
  </si>
  <si>
    <t>Forecast</t>
  </si>
  <si>
    <t>Direction</t>
  </si>
  <si>
    <t>nmProd1Seg1</t>
  </si>
  <si>
    <t>nmProd1Seg2</t>
  </si>
  <si>
    <t>nmProd1Seg3</t>
  </si>
  <si>
    <t>Direction: +1 = the higher the score the better; -1 = the lower the score the better</t>
  </si>
  <si>
    <t>nmMarketing</t>
  </si>
  <si>
    <t>Marketing</t>
  </si>
  <si>
    <t>tblMMProd1Drivers</t>
  </si>
  <si>
    <t>Tool Reset R0</t>
  </si>
  <si>
    <t>nmRevenue</t>
  </si>
  <si>
    <t>Data</t>
  </si>
  <si>
    <t>dataProd1Price</t>
  </si>
  <si>
    <t>COGS</t>
  </si>
  <si>
    <t>nmCOGS</t>
  </si>
  <si>
    <t>nmGrossProfit</t>
  </si>
  <si>
    <t>Gross Profit</t>
  </si>
  <si>
    <t>nmGrossMargin</t>
  </si>
  <si>
    <t>Gross Margin</t>
  </si>
  <si>
    <t>nmMillion</t>
  </si>
  <si>
    <t>Mn</t>
  </si>
  <si>
    <t>Names</t>
  </si>
  <si>
    <t xml:space="preserve">Number of Teams </t>
  </si>
  <si>
    <t>dataNumTeams</t>
  </si>
  <si>
    <t>Opening</t>
  </si>
  <si>
    <t>Closing</t>
  </si>
  <si>
    <t>Volumes</t>
  </si>
  <si>
    <t>Controls</t>
  </si>
  <si>
    <t>this specifices which sheets the hood close macro acts upon</t>
  </si>
  <si>
    <t>after the hood is closed, which sheet should be navigated to (must begin with the prefix specified in hood_ToolPrefix)</t>
  </si>
  <si>
    <t>specifices the line break used in the error check pop-up</t>
  </si>
  <si>
    <t>Market Share</t>
  </si>
  <si>
    <t>Navigation</t>
  </si>
  <si>
    <t>Intro</t>
  </si>
  <si>
    <t>HoodGoToScreen</t>
  </si>
  <si>
    <t>Dashboards</t>
  </si>
  <si>
    <t>Error Message</t>
  </si>
  <si>
    <t>In each of the cells in the "Warning" column below, you may enter an error check formula</t>
  </si>
  <si>
    <t>Manually type in the message the is to be displayed in the event that this error occurs</t>
  </si>
  <si>
    <t>When decisions are exported by teams, if any of the errors occur, a pop-up dialog box will display</t>
  </si>
  <si>
    <t>If no errors occur, the participants will see nothing</t>
  </si>
  <si>
    <t>Calculations &amp; Constants - Do NOT modify these</t>
  </si>
  <si>
    <t>This is the name of the feedback file - whatever you enter here will be what the macro searches for when updating feedbacks</t>
  </si>
  <si>
    <t>nmProgramTitle</t>
  </si>
  <si>
    <t>nmProgramSubtitle</t>
  </si>
  <si>
    <t>SimCreateTools</t>
  </si>
  <si>
    <t>Processing</t>
  </si>
  <si>
    <t>SimImportToolBalances</t>
  </si>
  <si>
    <t>Developer</t>
  </si>
  <si>
    <t>Tool - Export Decisions</t>
  </si>
  <si>
    <t>Tool - Import Balances</t>
  </si>
  <si>
    <t>Sim - Import Decisions</t>
  </si>
  <si>
    <t>Sim - Export Balances</t>
  </si>
  <si>
    <t>Sim - Advance to Next Round</t>
  </si>
  <si>
    <t>Sim - Reset to R0</t>
  </si>
  <si>
    <t>Sim - Create Tools</t>
  </si>
  <si>
    <t>Sim - Update Feedbacks</t>
  </si>
  <si>
    <t>dec_ToolInputPrefix</t>
  </si>
  <si>
    <t>Master Reset</t>
  </si>
  <si>
    <t>MasterReset</t>
  </si>
  <si>
    <t>This determines how many tools to create</t>
  </si>
  <si>
    <t>xxNumOfTeams</t>
  </si>
  <si>
    <t>DecExportDecisions</t>
  </si>
  <si>
    <t>Parameters</t>
  </si>
  <si>
    <t>#</t>
  </si>
  <si>
    <t>A/R</t>
  </si>
  <si>
    <t>Base Value</t>
  </si>
  <si>
    <t>Named Range</t>
  </si>
  <si>
    <t># Adjustments</t>
  </si>
  <si>
    <t>Must be in numerical order</t>
  </si>
  <si>
    <t>A</t>
  </si>
  <si>
    <t>End of Params</t>
  </si>
  <si>
    <t>Adjustments</t>
  </si>
  <si>
    <t>Parameter #</t>
  </si>
  <si>
    <t>Parameter Name</t>
  </si>
  <si>
    <t>FTE Code</t>
  </si>
  <si>
    <t>adj_FTECode</t>
  </si>
  <si>
    <t>Cost Code</t>
  </si>
  <si>
    <t>adj_CostCode</t>
  </si>
  <si>
    <t>Costs</t>
  </si>
  <si>
    <t>adj_IndexTeam</t>
  </si>
  <si>
    <t>xxToolPrefix</t>
  </si>
  <si>
    <t>CONFIGURATION - These MAY be set up by the developer at the beginning of the development; You are unlikely to need to modify these</t>
  </si>
  <si>
    <t>STATE - These are modified by macros, or may be manually adjusted by the developer for testing purposes</t>
  </si>
  <si>
    <t>SET UP - These MUST be set up by the developer at the beginning of the development</t>
  </si>
  <si>
    <t>SETTINGS - These may be modified by the developer or consultant</t>
  </si>
  <si>
    <t>INTERFACE - For modules that are being imported, these cells must be correctly connected to other cells in the simulation</t>
  </si>
  <si>
    <t>Connect this to xxToolPrefix on your controls page</t>
  </si>
  <si>
    <t>Popup Menu (Crtl + M)</t>
  </si>
  <si>
    <t>Version 3.0</t>
  </si>
  <si>
    <t>Menu Name</t>
  </si>
  <si>
    <t>PopUpMenu1</t>
  </si>
  <si>
    <t>vbaPopupMenuName</t>
  </si>
  <si>
    <t>vbaPopupMenuActive</t>
  </si>
  <si>
    <t>Popup Menu 1</t>
  </si>
  <si>
    <t>Arg 3</t>
  </si>
  <si>
    <t>Menu Level Count</t>
  </si>
  <si>
    <t>Popup Menu Constants</t>
  </si>
  <si>
    <t>Useful Face IDs:</t>
  </si>
  <si>
    <t>Menu Constants</t>
  </si>
  <si>
    <t>Single Quote</t>
  </si>
  <si>
    <t>'</t>
  </si>
  <si>
    <t>Double Quote</t>
  </si>
  <si>
    <t>"</t>
  </si>
  <si>
    <t>Comma</t>
  </si>
  <si>
    <t>,</t>
  </si>
  <si>
    <t>cnstComma</t>
  </si>
  <si>
    <t>BalancesResetT0Obals</t>
  </si>
  <si>
    <t>ClearAdjRange25</t>
  </si>
  <si>
    <t>Named Range 25</t>
  </si>
  <si>
    <t>ClearAdjRange24</t>
  </si>
  <si>
    <t>Named Range 24</t>
  </si>
  <si>
    <t>ClearAdjRange23</t>
  </si>
  <si>
    <t>Named Range 23</t>
  </si>
  <si>
    <t>ClearAdjRange22</t>
  </si>
  <si>
    <t>Named Range 22</t>
  </si>
  <si>
    <t>ClearAdjRange21</t>
  </si>
  <si>
    <t>Named Range 21</t>
  </si>
  <si>
    <t>ClearAdjRange20</t>
  </si>
  <si>
    <t>Named Range 20</t>
  </si>
  <si>
    <t>ClearAdjRange19</t>
  </si>
  <si>
    <t>Named Range 19</t>
  </si>
  <si>
    <t>ClearAdjRange18</t>
  </si>
  <si>
    <t>Named Range 18</t>
  </si>
  <si>
    <t>ClearAdjRange17</t>
  </si>
  <si>
    <t>Named Range 17</t>
  </si>
  <si>
    <t>ClearAdjRange16</t>
  </si>
  <si>
    <t>Named Range 16</t>
  </si>
  <si>
    <t>ClearAdjRange15</t>
  </si>
  <si>
    <t>Named Range 15</t>
  </si>
  <si>
    <t>ClearAdjRange14</t>
  </si>
  <si>
    <t>Named Range 14</t>
  </si>
  <si>
    <t>ClearAdjRange13</t>
  </si>
  <si>
    <t>Named Range 13</t>
  </si>
  <si>
    <t>ClearAdjRange12</t>
  </si>
  <si>
    <t>Named Range 12</t>
  </si>
  <si>
    <t>ClearAdjRange11</t>
  </si>
  <si>
    <t>Named Range 11</t>
  </si>
  <si>
    <t>ClearAdjRange10</t>
  </si>
  <si>
    <t>Named Range 10</t>
  </si>
  <si>
    <t>ClearAdjRange9</t>
  </si>
  <si>
    <t>Named Range 9</t>
  </si>
  <si>
    <t>ClearAdjRange8</t>
  </si>
  <si>
    <t>Named Range 8</t>
  </si>
  <si>
    <t>ClearAdjRange7</t>
  </si>
  <si>
    <t>Named Range 7</t>
  </si>
  <si>
    <t>ClearAdjRange6</t>
  </si>
  <si>
    <t>Named Range 6</t>
  </si>
  <si>
    <t>ClearAdjRange5</t>
  </si>
  <si>
    <t>Named Range 5</t>
  </si>
  <si>
    <t>ClearAdjRange4</t>
  </si>
  <si>
    <t>Named Range 4</t>
  </si>
  <si>
    <t>ClearAdjRange3</t>
  </si>
  <si>
    <t>Named Range 3</t>
  </si>
  <si>
    <t>ClearAdjRange2</t>
  </si>
  <si>
    <t>Named Range 2</t>
  </si>
  <si>
    <t>ClearAdjRange1</t>
  </si>
  <si>
    <t>Named Range 1</t>
  </si>
  <si>
    <t>**Locations of manual adjustment lines include market model, sat, and index pages</t>
  </si>
  <si>
    <t>Inputs - Manual Adjustments to Clear</t>
  </si>
  <si>
    <t xml:space="preserve">  Clears all manual adjustments in simulation.</t>
  </si>
  <si>
    <t>ClearAdjustments</t>
  </si>
  <si>
    <t>Description</t>
  </si>
  <si>
    <t xml:space="preserve">  Cell values must be linked to another worksheet.</t>
  </si>
  <si>
    <t xml:space="preserve">  Formula cell.  Developer may modify.</t>
  </si>
  <si>
    <t xml:space="preserve">  Hard-coded input cell.  Developer may modify by entering value.</t>
  </si>
  <si>
    <t>Legend</t>
  </si>
  <si>
    <t>Adam.Aranyos@bts.com</t>
  </si>
  <si>
    <t>For support contact:</t>
  </si>
  <si>
    <t>ClearAdj Module - Clear Manual Adjustments</t>
  </si>
  <si>
    <t>Outputs - Linked to SimNewRound and SimReset Macros</t>
  </si>
  <si>
    <r>
      <t xml:space="preserve">Manual Adjustment Named Range </t>
    </r>
    <r>
      <rPr>
        <i/>
        <sz val="10"/>
        <color theme="1"/>
        <rFont val="Verdana"/>
        <family val="2"/>
      </rPr>
      <t>(Do not cut and paste)</t>
    </r>
  </si>
  <si>
    <t>MACH</t>
  </si>
  <si>
    <t>Productivity &amp; Business</t>
  </si>
  <si>
    <t>Enterprise</t>
  </si>
  <si>
    <t>Consumer</t>
  </si>
  <si>
    <t>nmProd2</t>
  </si>
  <si>
    <t>nmProd2Seg1</t>
  </si>
  <si>
    <t>nmProd2Seg2</t>
  </si>
  <si>
    <t>nmProd2Seg3</t>
  </si>
  <si>
    <t>Intelligent Cloud</t>
  </si>
  <si>
    <t>nmProd3</t>
  </si>
  <si>
    <t>nmProd3Seg1</t>
  </si>
  <si>
    <t>nmProd3Seg2</t>
  </si>
  <si>
    <t>nmProd3Seg3</t>
  </si>
  <si>
    <t>Personal Computing</t>
  </si>
  <si>
    <t>MACHSkillUp</t>
  </si>
  <si>
    <t>MACHSkillUpFeedbacks</t>
  </si>
  <si>
    <t>Generate Energy</t>
  </si>
  <si>
    <t>Deliver Success</t>
  </si>
  <si>
    <t>Create Clarity</t>
  </si>
  <si>
    <t>PlusMinusButton</t>
  </si>
  <si>
    <t>ModuleFactory@bts.com</t>
  </si>
  <si>
    <t>Input Cell Types</t>
  </si>
  <si>
    <t>Calculation Cell Types</t>
  </si>
  <si>
    <t xml:space="preserve">  Hard-coded cell.  Developer may modify.</t>
  </si>
  <si>
    <t xml:space="preserve">  Calculated cell. User must not modify.</t>
  </si>
  <si>
    <t xml:space="preserve">  Cell must be linked to another worksheet.</t>
  </si>
  <si>
    <t>Increment per Click</t>
  </si>
  <si>
    <t>Max Value</t>
  </si>
  <si>
    <t>Min Value</t>
  </si>
  <si>
    <t>Culture</t>
  </si>
  <si>
    <t>Revenue Growth</t>
  </si>
  <si>
    <t>CPE</t>
  </si>
  <si>
    <t>WHI</t>
  </si>
  <si>
    <t>CLV</t>
  </si>
  <si>
    <t>Operating Profit</t>
  </si>
  <si>
    <t>`</t>
  </si>
  <si>
    <t>Max</t>
  </si>
  <si>
    <t>Cloud Adoption</t>
  </si>
  <si>
    <t>Avg. Consumption</t>
  </si>
  <si>
    <t>Forecasting</t>
  </si>
  <si>
    <t>Marketing Budget</t>
  </si>
  <si>
    <t>GSMO</t>
  </si>
  <si>
    <t>Revenue by Ambition</t>
  </si>
  <si>
    <t>nmPartner1</t>
  </si>
  <si>
    <t>nmPartner5</t>
  </si>
  <si>
    <t>nmPartner4</t>
  </si>
  <si>
    <t>nmPartner3</t>
  </si>
  <si>
    <t>nmPartner2</t>
  </si>
  <si>
    <t>Retailer</t>
  </si>
  <si>
    <t>nmPartner6</t>
  </si>
  <si>
    <t>% of Time/Budget</t>
  </si>
  <si>
    <t>Pricing Strategy</t>
  </si>
  <si>
    <t>nmSeg1</t>
  </si>
  <si>
    <t>nmSeg2</t>
  </si>
  <si>
    <t>nmSeg3</t>
  </si>
  <si>
    <t>Sales &amp; Services Strategy</t>
  </si>
  <si>
    <t>Cloud</t>
  </si>
  <si>
    <t>Cloud Migration Rate</t>
  </si>
  <si>
    <t>Direct Sales FTEs</t>
  </si>
  <si>
    <t>Inside Sales FTEs</t>
  </si>
  <si>
    <t>Services FTEs</t>
  </si>
  <si>
    <t>Ending</t>
  </si>
  <si>
    <t>Partner Strategy</t>
  </si>
  <si>
    <t>Partner Education</t>
  </si>
  <si>
    <t>Partner Incentives</t>
  </si>
  <si>
    <t>btnLevel</t>
  </si>
  <si>
    <t>Set Up</t>
  </si>
  <si>
    <t>Button color - selected</t>
  </si>
  <si>
    <t>Button color - not selected</t>
  </si>
  <si>
    <t>btnLevelDeselected</t>
  </si>
  <si>
    <t>Buttons</t>
  </si>
  <si>
    <t>Number of Levels</t>
  </si>
  <si>
    <t>Sheet Location</t>
  </si>
  <si>
    <t>btnLevelLevels1</t>
  </si>
  <si>
    <t>btnLevelSheet1</t>
  </si>
  <si>
    <t>btnLevelDec1</t>
  </si>
  <si>
    <t>btnLevelLevels2</t>
  </si>
  <si>
    <t>btnLevelSheet2</t>
  </si>
  <si>
    <t>btnLevelDec2</t>
  </si>
  <si>
    <t>btnLevelLevels3</t>
  </si>
  <si>
    <t>btnLevelSheet3</t>
  </si>
  <si>
    <t>btnLevelDec3</t>
  </si>
  <si>
    <t>Number of button sets</t>
  </si>
  <si>
    <t>btnLevelCount</t>
  </si>
  <si>
    <t>Investment</t>
  </si>
  <si>
    <t>Consumer Services FTEs</t>
  </si>
  <si>
    <t>Engineering Group</t>
  </si>
  <si>
    <t>Platform Investments</t>
  </si>
  <si>
    <t>Security</t>
  </si>
  <si>
    <t>Scalability</t>
  </si>
  <si>
    <t>Design</t>
  </si>
  <si>
    <t>Interoperability</t>
  </si>
  <si>
    <t>EG</t>
  </si>
  <si>
    <t>Operations &amp; Support</t>
  </si>
  <si>
    <t>Headcount</t>
  </si>
  <si>
    <t>Talent Development</t>
  </si>
  <si>
    <t>Collaboration</t>
  </si>
  <si>
    <t>Services</t>
  </si>
  <si>
    <t>Engineering</t>
  </si>
  <si>
    <t>nmSkill1</t>
  </si>
  <si>
    <t>nmSkill2</t>
  </si>
  <si>
    <t>nmSkill3</t>
  </si>
  <si>
    <t>nmSkill4</t>
  </si>
  <si>
    <t>Technical Expertise</t>
  </si>
  <si>
    <t>Consultative Skills</t>
  </si>
  <si>
    <t>Industry Expertise</t>
  </si>
  <si>
    <t>Business Acumen</t>
  </si>
  <si>
    <t>tlOps</t>
  </si>
  <si>
    <t>Nimbus</t>
  </si>
  <si>
    <t>A1:U19</t>
  </si>
  <si>
    <t>DB_arrayDash4Names</t>
  </si>
  <si>
    <t>DB_arrayDash4Values</t>
  </si>
  <si>
    <t>DB_Dashboard4</t>
  </si>
  <si>
    <t>nmProd1Offering1</t>
  </si>
  <si>
    <t>nmProd1Offering2</t>
  </si>
  <si>
    <t>nmProd2Offering1</t>
  </si>
  <si>
    <t>nmProd2Offering2</t>
  </si>
  <si>
    <t>nmProd3Offering1</t>
  </si>
  <si>
    <t>nmProd3Offering2</t>
  </si>
  <si>
    <t>nmProd2Offering3</t>
  </si>
  <si>
    <t>Azul Applications</t>
  </si>
  <si>
    <t>Doors OS</t>
  </si>
  <si>
    <t>Devices</t>
  </si>
  <si>
    <t>Ping</t>
  </si>
  <si>
    <t>nmProd3Offering3</t>
  </si>
  <si>
    <t>Total Marketing Budget</t>
  </si>
  <si>
    <t>Operations</t>
  </si>
  <si>
    <t>Supply Chain</t>
  </si>
  <si>
    <t>IT</t>
  </si>
  <si>
    <t>Sales</t>
  </si>
  <si>
    <t>Cloud Migration</t>
  </si>
  <si>
    <t>Ending Internal Readiness</t>
  </si>
  <si>
    <t>Commercial</t>
  </si>
  <si>
    <t>Partner Development</t>
  </si>
  <si>
    <t>btnPlusMinusDec101</t>
  </si>
  <si>
    <t>btnPlusMinusMin101</t>
  </si>
  <si>
    <t>btnPlusMinusMax101</t>
  </si>
  <si>
    <t>btnPlusMinusIncr101</t>
  </si>
  <si>
    <t>btnPlusMinusIncr102</t>
  </si>
  <si>
    <t>btnPlusMinusIncr103</t>
  </si>
  <si>
    <t>btnPlusMinusIncr104</t>
  </si>
  <si>
    <t>btnPlusMinusIncr105</t>
  </si>
  <si>
    <t>btnPlusMinusIncr106</t>
  </si>
  <si>
    <t>btnPlusMinusIncr107</t>
  </si>
  <si>
    <t>btnPlusMinusIncr108</t>
  </si>
  <si>
    <t>btnPlusMinusIncr109</t>
  </si>
  <si>
    <t>btnPlusMinusIncr110</t>
  </si>
  <si>
    <t>btnPlusMinusIncr111</t>
  </si>
  <si>
    <t>btnPlusMinusMax102</t>
  </si>
  <si>
    <t>btnPlusMinusMax103</t>
  </si>
  <si>
    <t>btnPlusMinusMax104</t>
  </si>
  <si>
    <t>btnPlusMinusMax105</t>
  </si>
  <si>
    <t>btnPlusMinusMax106</t>
  </si>
  <si>
    <t>btnPlusMinusMax107</t>
  </si>
  <si>
    <t>btnPlusMinusMax108</t>
  </si>
  <si>
    <t>btnPlusMinusMax109</t>
  </si>
  <si>
    <t>btnPlusMinusMax110</t>
  </si>
  <si>
    <t>btnPlusMinusMax111</t>
  </si>
  <si>
    <t>btnPlusMinusMin102</t>
  </si>
  <si>
    <t>btnPlusMinusMin103</t>
  </si>
  <si>
    <t>btnPlusMinusMin104</t>
  </si>
  <si>
    <t>btnPlusMinusMin105</t>
  </si>
  <si>
    <t>btnPlusMinusMin106</t>
  </si>
  <si>
    <t>btnPlusMinusMin107</t>
  </si>
  <si>
    <t>btnPlusMinusMin108</t>
  </si>
  <si>
    <t>btnPlusMinusMin109</t>
  </si>
  <si>
    <t>btnPlusMinusMin110</t>
  </si>
  <si>
    <t>btnPlusMinusMin111</t>
  </si>
  <si>
    <t>btnPlusMinusDec102</t>
  </si>
  <si>
    <t>btnPlusMinusDec103</t>
  </si>
  <si>
    <t>btnPlusMinusDec104</t>
  </si>
  <si>
    <t>btnPlusMinusDec105</t>
  </si>
  <si>
    <t>btnPlusMinusDec106</t>
  </si>
  <si>
    <t>btnPlusMinusDec107</t>
  </si>
  <si>
    <t>btnPlusMinusDec108</t>
  </si>
  <si>
    <t>btnPlusMinusDec109</t>
  </si>
  <si>
    <t>btnPlusMinusDec110</t>
  </si>
  <si>
    <t>btnPlusMinusDec111</t>
  </si>
  <si>
    <t>btnPlusMinusIncr121</t>
  </si>
  <si>
    <t>btnPlusMinusMax121</t>
  </si>
  <si>
    <t>btnPlusMinusMin121</t>
  </si>
  <si>
    <t>btnPlusMinusDec121</t>
  </si>
  <si>
    <t>btnPlusMinusIncr112</t>
  </si>
  <si>
    <t>btnPlusMinusMax112</t>
  </si>
  <si>
    <t>btnPlusMinusMin112</t>
  </si>
  <si>
    <t>btnPlusMinusDec112</t>
  </si>
  <si>
    <t>btnPlusMinusIncr113</t>
  </si>
  <si>
    <t>btnPlusMinusMax113</t>
  </si>
  <si>
    <t>btnPlusMinusMin113</t>
  </si>
  <si>
    <t>btnPlusMinusDec113</t>
  </si>
  <si>
    <t>Commercial Marketing Budget</t>
  </si>
  <si>
    <t>btnPlusMinusIncr114</t>
  </si>
  <si>
    <t>btnPlusMinusMax114</t>
  </si>
  <si>
    <t>btnPlusMinusMin114</t>
  </si>
  <si>
    <t>btnPlusMinusDec114</t>
  </si>
  <si>
    <t>Sales FTEs</t>
  </si>
  <si>
    <t>btnPlusMinusIncr115</t>
  </si>
  <si>
    <t>btnPlusMinusMax115</t>
  </si>
  <si>
    <t>btnPlusMinusMin115</t>
  </si>
  <si>
    <t>btnPlusMinusDec115</t>
  </si>
  <si>
    <t>btnPlusMinusIncr116</t>
  </si>
  <si>
    <t>btnPlusMinusMax116</t>
  </si>
  <si>
    <t>btnPlusMinusMin116</t>
  </si>
  <si>
    <t>btnPlusMinusDec116</t>
  </si>
  <si>
    <t>btnPlusMinusIncr117</t>
  </si>
  <si>
    <t>btnPlusMinusMax117</t>
  </si>
  <si>
    <t>btnPlusMinusMin117</t>
  </si>
  <si>
    <t>btnPlusMinusDec117</t>
  </si>
  <si>
    <t>btnPlusMinusIncr118</t>
  </si>
  <si>
    <t>btnPlusMinusMax118</t>
  </si>
  <si>
    <t>btnPlusMinusMin118</t>
  </si>
  <si>
    <t>btnPlusMinusDec118</t>
  </si>
  <si>
    <t>btnPlusMinusIncr119</t>
  </si>
  <si>
    <t>btnPlusMinusMax119</t>
  </si>
  <si>
    <t>btnPlusMinusMin119</t>
  </si>
  <si>
    <t>btnPlusMinusDec119</t>
  </si>
  <si>
    <t>btnPlusMinusIncr120</t>
  </si>
  <si>
    <t>btnPlusMinusMax120</t>
  </si>
  <si>
    <t>btnPlusMinusMin120</t>
  </si>
  <si>
    <t>btnPlusMinusDec120</t>
  </si>
  <si>
    <t>btnPlusMinusIncr122</t>
  </si>
  <si>
    <t>btnPlusMinusMax122</t>
  </si>
  <si>
    <t>btnPlusMinusMin122</t>
  </si>
  <si>
    <t>btnPlusMinusDec122</t>
  </si>
  <si>
    <t>btnPlusMinusIncr123</t>
  </si>
  <si>
    <t>btnPlusMinusMax123</t>
  </si>
  <si>
    <t>btnPlusMinusMin123</t>
  </si>
  <si>
    <t>btnPlusMinusDec123</t>
  </si>
  <si>
    <t>btnPlusMinusIncr124</t>
  </si>
  <si>
    <t>btnPlusMinusMax124</t>
  </si>
  <si>
    <t>btnPlusMinusMin124</t>
  </si>
  <si>
    <t>btnPlusMinusDec124</t>
  </si>
  <si>
    <t>btnPlusMinusIncr125</t>
  </si>
  <si>
    <t>btnPlusMinusMax125</t>
  </si>
  <si>
    <t>btnPlusMinusMin125</t>
  </si>
  <si>
    <t>btnPlusMinusDec125</t>
  </si>
  <si>
    <t>btnPlusMinusIncr126</t>
  </si>
  <si>
    <t>btnPlusMinusMax126</t>
  </si>
  <si>
    <t>btnPlusMinusMin126</t>
  </si>
  <si>
    <t>btnPlusMinusDec126</t>
  </si>
  <si>
    <t>btnPlusMinusIncr127</t>
  </si>
  <si>
    <t>btnPlusMinusMax127</t>
  </si>
  <si>
    <t>btnPlusMinusMin127</t>
  </si>
  <si>
    <t>btnPlusMinusDec127</t>
  </si>
  <si>
    <t>btnPlusMinusIncr128</t>
  </si>
  <si>
    <t>btnPlusMinusMax128</t>
  </si>
  <si>
    <t>btnPlusMinusMin128</t>
  </si>
  <si>
    <t>btnPlusMinusDec128</t>
  </si>
  <si>
    <t>btnPlusMinusIncr129</t>
  </si>
  <si>
    <t>btnPlusMinusMax129</t>
  </si>
  <si>
    <t>btnPlusMinusMin129</t>
  </si>
  <si>
    <t>btnPlusMinusDec129</t>
  </si>
  <si>
    <t>btnPlusMinusIncr130</t>
  </si>
  <si>
    <t>btnPlusMinusMax130</t>
  </si>
  <si>
    <t>btnPlusMinusMin130</t>
  </si>
  <si>
    <t>btnPlusMinusDec130</t>
  </si>
  <si>
    <t>btnPlusMinusIncr131</t>
  </si>
  <si>
    <t>btnPlusMinusMax131</t>
  </si>
  <si>
    <t>btnPlusMinusMin131</t>
  </si>
  <si>
    <t>btnPlusMinusDec131</t>
  </si>
  <si>
    <t>Sales Collaboration FTEs</t>
  </si>
  <si>
    <t>btnPlusMinusIncr132</t>
  </si>
  <si>
    <t>btnPlusMinusMax132</t>
  </si>
  <si>
    <t>btnPlusMinusMin132</t>
  </si>
  <si>
    <t>btnPlusMinusDec132</t>
  </si>
  <si>
    <t>Services Collaboration FTEs</t>
  </si>
  <si>
    <t>Engineering Collaboration FTEs</t>
  </si>
  <si>
    <t>btnPlusMinusIncr134</t>
  </si>
  <si>
    <t>btnPlusMinusMax134</t>
  </si>
  <si>
    <t>btnPlusMinusMin134</t>
  </si>
  <si>
    <t>btnPlusMinusDec134</t>
  </si>
  <si>
    <t>btnPlusMinusIncr133</t>
  </si>
  <si>
    <t>btnPlusMinusMax133</t>
  </si>
  <si>
    <t>btnPlusMinusMin133</t>
  </si>
  <si>
    <t>btnPlusMinusDec133</t>
  </si>
  <si>
    <t>IT FTEs</t>
  </si>
  <si>
    <t>Finance FTEs</t>
  </si>
  <si>
    <t>Supply Chain FTEs</t>
  </si>
  <si>
    <t>btnPlusMinusIncr135</t>
  </si>
  <si>
    <t>btnPlusMinusMax135</t>
  </si>
  <si>
    <t>btnPlusMinusMin135</t>
  </si>
  <si>
    <t>btnPlusMinusDec135</t>
  </si>
  <si>
    <t>btnPlusMinusIncr136</t>
  </si>
  <si>
    <t>btnPlusMinusMax136</t>
  </si>
  <si>
    <t>btnPlusMinusMin136</t>
  </si>
  <si>
    <t>btnPlusMinusDec136</t>
  </si>
  <si>
    <t>btnPlusMinusIncr137</t>
  </si>
  <si>
    <t>btnPlusMinusMax137</t>
  </si>
  <si>
    <t>btnPlusMinusMin137</t>
  </si>
  <si>
    <t>btnPlusMinusDec137</t>
  </si>
  <si>
    <t>btnLevelBorder</t>
  </si>
  <si>
    <t>btnLevelLevels4</t>
  </si>
  <si>
    <t>btnLevelSheet4</t>
  </si>
  <si>
    <t>btnLevelDec4</t>
  </si>
  <si>
    <t>btnLevelLevels5</t>
  </si>
  <si>
    <t>btnLevelSheet5</t>
  </si>
  <si>
    <t>btnLevelDec5</t>
  </si>
  <si>
    <t>btnLevelLevels6</t>
  </si>
  <si>
    <t>btnLevelSheet6</t>
  </si>
  <si>
    <t>btnLevelDec6</t>
  </si>
  <si>
    <t>btnLevelLevels7</t>
  </si>
  <si>
    <t>btnLevelSheet7</t>
  </si>
  <si>
    <t>btnLevelDec7</t>
  </si>
  <si>
    <t>btnLevelLevels8</t>
  </si>
  <si>
    <t>btnLevelSheet8</t>
  </si>
  <si>
    <t>btnLevelDec8</t>
  </si>
  <si>
    <t>btnLevelLevels9</t>
  </si>
  <si>
    <t>btnLevelSheet9</t>
  </si>
  <si>
    <t>btnLevelDec9</t>
  </si>
  <si>
    <t>btnLevelLevels10</t>
  </si>
  <si>
    <t>btnLevelSheet10</t>
  </si>
  <si>
    <t>btnLevelDec10</t>
  </si>
  <si>
    <t>btnLevelLevels11</t>
  </si>
  <si>
    <t>btnLevelSheet11</t>
  </si>
  <si>
    <t>btnLevelDec11</t>
  </si>
  <si>
    <t>btnLevelLevels12</t>
  </si>
  <si>
    <t>btnLevelSheet12</t>
  </si>
  <si>
    <t>btnLevelDec12</t>
  </si>
  <si>
    <t>btnLevelLevels13</t>
  </si>
  <si>
    <t>btnLevelSheet13</t>
  </si>
  <si>
    <t>btnLevelDec13</t>
  </si>
  <si>
    <t>btnLevelLevels14</t>
  </si>
  <si>
    <t>btnLevelSheet14</t>
  </si>
  <si>
    <t>btnLevelDec14</t>
  </si>
  <si>
    <t>btnLevelLevels15</t>
  </si>
  <si>
    <t>btnLevelSheet15</t>
  </si>
  <si>
    <t>btnLevelDec15</t>
  </si>
  <si>
    <t>btnLevelLevels16</t>
  </si>
  <si>
    <t>btnLevelSheet16</t>
  </si>
  <si>
    <t>btnLevelDec16</t>
  </si>
  <si>
    <t>btnLevelLevels17</t>
  </si>
  <si>
    <t>btnLevelSheet17</t>
  </si>
  <si>
    <t>btnLevelDec17</t>
  </si>
  <si>
    <t>btnLevelLevels18</t>
  </si>
  <si>
    <t>btnLevelSheet18</t>
  </si>
  <si>
    <t>btnLevelDec18</t>
  </si>
  <si>
    <t>btnLevelLevels19</t>
  </si>
  <si>
    <t>btnLevelSheet19</t>
  </si>
  <si>
    <t>btnLevelDec19</t>
  </si>
  <si>
    <t>Additional Button Tool Inputs</t>
  </si>
  <si>
    <t>btnLevelLevels20</t>
  </si>
  <si>
    <t>btnLevelSheet20</t>
  </si>
  <si>
    <t>btnLevelDec20</t>
  </si>
  <si>
    <t>btnLevelLevels21</t>
  </si>
  <si>
    <t>btnLevelSheet21</t>
  </si>
  <si>
    <t>btnLevelDec21</t>
  </si>
  <si>
    <t>btnLevelLevels24</t>
  </si>
  <si>
    <t>btnLevelSheet24</t>
  </si>
  <si>
    <t>btnLevelDec24</t>
  </si>
  <si>
    <t>btnLevelLevels23</t>
  </si>
  <si>
    <t>btnLevelSheet23</t>
  </si>
  <si>
    <t>btnLevelDec23</t>
  </si>
  <si>
    <t>btnLevelLevels25</t>
  </si>
  <si>
    <t>btnLevelSheet25</t>
  </si>
  <si>
    <t>btnLevelDec25</t>
  </si>
  <si>
    <t>Button color - Border</t>
  </si>
  <si>
    <t>Button color - Text</t>
  </si>
  <si>
    <t>btnLevelSelectedText</t>
  </si>
  <si>
    <t>Pricing</t>
  </si>
  <si>
    <t>btnLevelDeselectedText</t>
  </si>
  <si>
    <t>NavGSMOTotalButtons</t>
  </si>
  <si>
    <t>NavGSMODeselectedButton</t>
  </si>
  <si>
    <t>NavGSMOSelectedButton</t>
  </si>
  <si>
    <t>NavOpsTotalButtons</t>
  </si>
  <si>
    <t>NavOpsDeselectedButton</t>
  </si>
  <si>
    <t>NavOpsSelectedButton</t>
  </si>
  <si>
    <t>NavOpsRange1</t>
  </si>
  <si>
    <t>NavOpsRange2</t>
  </si>
  <si>
    <t>NavOpsRange3</t>
  </si>
  <si>
    <t>NavOpsRange4</t>
  </si>
  <si>
    <t>HideRowsOpsOperations</t>
  </si>
  <si>
    <t>NavEGTotalButtons</t>
  </si>
  <si>
    <t>NavEGDeselectedButton</t>
  </si>
  <si>
    <t>NavEGSelectedButton</t>
  </si>
  <si>
    <t>NavEGRange1</t>
  </si>
  <si>
    <t>NavEGRange2</t>
  </si>
  <si>
    <t>NavEGRange3</t>
  </si>
  <si>
    <t>NavEGRange4</t>
  </si>
  <si>
    <t>HideRowsEGPlatform</t>
  </si>
  <si>
    <t>HideRowsEGProd1</t>
  </si>
  <si>
    <t>HideRowsEGProd2</t>
  </si>
  <si>
    <t>HideRowsEGProd3</t>
  </si>
  <si>
    <t>Team 6</t>
  </si>
  <si>
    <t>Team 7</t>
  </si>
  <si>
    <t>Team 8</t>
  </si>
  <si>
    <t>Team 9</t>
  </si>
  <si>
    <t>Team 10</t>
  </si>
  <si>
    <t>Competitor</t>
  </si>
  <si>
    <t>Platform</t>
  </si>
  <si>
    <t>decEGSecurity</t>
  </si>
  <si>
    <t>decEGScalability</t>
  </si>
  <si>
    <t>decEGInteroperability</t>
  </si>
  <si>
    <t>decEGProd1Offering1</t>
  </si>
  <si>
    <t>decEGProd1Offering2</t>
  </si>
  <si>
    <t>decEGProd2Offering1</t>
  </si>
  <si>
    <t>decEGProd2Offering2</t>
  </si>
  <si>
    <t>decEGProd3Offering1</t>
  </si>
  <si>
    <t>decEGProd3Offering2</t>
  </si>
  <si>
    <t>decOpsITFTEs</t>
  </si>
  <si>
    <t>decOpsSupplyChainFTEs</t>
  </si>
  <si>
    <t>Round 3</t>
  </si>
  <si>
    <t>Round 2</t>
  </si>
  <si>
    <t>Round 1</t>
  </si>
  <si>
    <t>Round 0</t>
  </si>
  <si>
    <t>Attached Subscriptions</t>
  </si>
  <si>
    <t>Team5</t>
  </si>
  <si>
    <t>Renewed Subscriptions</t>
  </si>
  <si>
    <t>Opening Balance of Subscriptions</t>
  </si>
  <si>
    <t>Ending Renewal Rate</t>
  </si>
  <si>
    <t>Attach Rate</t>
  </si>
  <si>
    <t>Renewal Rate</t>
  </si>
  <si>
    <t>**Note: Direction must be +1 (the higher the driver the better) or -1 (the lower the driver the better)</t>
  </si>
  <si>
    <t>*Note: leave unused drivers blank</t>
  </si>
  <si>
    <t>**Drivers and weights may be linked to the data page</t>
  </si>
  <si>
    <t>Adjustment</t>
  </si>
  <si>
    <t>Ending Attach Rate</t>
  </si>
  <si>
    <t>Manual Adjustments</t>
  </si>
  <si>
    <t>Level 5</t>
  </si>
  <si>
    <t>Level 4</t>
  </si>
  <si>
    <t>Level 3</t>
  </si>
  <si>
    <t>Level 2</t>
  </si>
  <si>
    <t>Level 1</t>
  </si>
  <si>
    <t>Level 0</t>
  </si>
  <si>
    <t>Opening Attach Rate</t>
  </si>
  <si>
    <t xml:space="preserve">   **Actual based on table</t>
  </si>
  <si>
    <t>Actual variability</t>
  </si>
  <si>
    <t>Desired variability</t>
  </si>
  <si>
    <t>Impact</t>
  </si>
  <si>
    <t>**From obalRenewalRate</t>
  </si>
  <si>
    <t>Opening Renewal Rate</t>
  </si>
  <si>
    <t xml:space="preserve">   **Max possible increase/decrease in renewal rate per Round (all level 5 / level 0 decs)</t>
  </si>
  <si>
    <t>Renewal Rate Variability</t>
  </si>
  <si>
    <t>**From obalSubscriptions</t>
  </si>
  <si>
    <t>**Renewals are largely the outcome of internal, as opposed to external, actions and factors</t>
  </si>
  <si>
    <t>New Subscriptions TAM</t>
  </si>
  <si>
    <t>-Total Market-</t>
  </si>
  <si>
    <t>New Customer Subscriptions Required</t>
  </si>
  <si>
    <t>**Start with reset value of obalAttachRate</t>
  </si>
  <si>
    <t>Average Attach Rate Desired</t>
  </si>
  <si>
    <t>New Customer vs. Attached Subscriptions</t>
  </si>
  <si>
    <t>**Pull from growth analysis in market model for product on to which you wish to attach</t>
  </si>
  <si>
    <t>Attach Base (other product)</t>
  </si>
  <si>
    <t>ProdX Units Sold Prediction</t>
  </si>
  <si>
    <t>-Average team-</t>
  </si>
  <si>
    <t>New Subscriptions Required</t>
  </si>
  <si>
    <t>**Start with reset value of obalRenewalRate</t>
  </si>
  <si>
    <t>Average Renewal Rate Desired</t>
  </si>
  <si>
    <t>Average Deaths</t>
  </si>
  <si>
    <t>Average Death Rate</t>
  </si>
  <si>
    <t>New vs. Renewed Subscriptions</t>
  </si>
  <si>
    <t>Total Subscriptions Required</t>
  </si>
  <si>
    <t>Subscriptions Required</t>
  </si>
  <si>
    <t>Gross ARR Required</t>
  </si>
  <si>
    <t>Downgrades</t>
  </si>
  <si>
    <t>Revenue Projection</t>
  </si>
  <si>
    <t>Net ARR Req. (Gross - Downgrades)</t>
  </si>
  <si>
    <t>Last Round's EoP ARR</t>
  </si>
  <si>
    <t>Net ARR Required</t>
  </si>
  <si>
    <t>End of Period ARR Desired</t>
  </si>
  <si>
    <t>Round-on-Round Growth Rate Desired</t>
  </si>
  <si>
    <t>End of Period ARR Targets</t>
  </si>
  <si>
    <t>Total Bookings Required</t>
  </si>
  <si>
    <t>Revenue from Bookings Required</t>
  </si>
  <si>
    <t>Revenue from Deferral</t>
  </si>
  <si>
    <t>Bookings Required</t>
  </si>
  <si>
    <t>Deferred round this round (+)</t>
  </si>
  <si>
    <t>Recognized this round (-)</t>
  </si>
  <si>
    <t>Deferred Revenue Balance</t>
  </si>
  <si>
    <t>Revenue Desired</t>
  </si>
  <si>
    <t>Revenue Targets</t>
  </si>
  <si>
    <t>**obalSubscriptions reset value</t>
  </si>
  <si>
    <t>Prior Round Sub Install Base</t>
  </si>
  <si>
    <t>**From dataSubPriceLookup</t>
  </si>
  <si>
    <t>**obalARR reset value</t>
  </si>
  <si>
    <t>Opening ARR Balance (Round -1)</t>
  </si>
  <si>
    <t>**From FinDefBSOpenProd1DefRev or obal</t>
  </si>
  <si>
    <t>Opening Deferred Revenue Balance</t>
  </si>
  <si>
    <t>Revenue Deferral Rate</t>
  </si>
  <si>
    <t>Revenue Recognition Rate (Net ARR)</t>
  </si>
  <si>
    <t>**From FinARR module</t>
  </si>
  <si>
    <t>Quarters per Round</t>
  </si>
  <si>
    <t>Revenue Recognition Rate</t>
  </si>
  <si>
    <t>Length of Contract (Rounds)</t>
  </si>
  <si>
    <t>Link to</t>
  </si>
  <si>
    <t>Opening Subscription Parameters</t>
  </si>
  <si>
    <t>Applies to:</t>
  </si>
  <si>
    <t>No</t>
  </si>
  <si>
    <t>Industry/Fin Model</t>
  </si>
  <si>
    <t>**From xxRound</t>
  </si>
  <si>
    <t>Round:</t>
  </si>
  <si>
    <t>SW - Deferral</t>
  </si>
  <si>
    <t>(Set to 0 if using only the Income Statement)</t>
  </si>
  <si>
    <t>From Param page</t>
  </si>
  <si>
    <t>FinDefDCDepRate</t>
  </si>
  <si>
    <t>Datacenter Depreciation Rate</t>
  </si>
  <si>
    <t>FinDefDeferralRate</t>
  </si>
  <si>
    <t>FinDefRecogRate</t>
  </si>
  <si>
    <t>Recommended length is 2 rounds; link as output to mmSub</t>
  </si>
  <si>
    <t>FinDefContractLength</t>
  </si>
  <si>
    <t>Link to glossary</t>
  </si>
  <si>
    <t>FinDefBookingsName</t>
  </si>
  <si>
    <t>Bookings</t>
  </si>
  <si>
    <t>Nomenclature: Billings or Bookings?</t>
  </si>
  <si>
    <t>For questions or support contact:</t>
  </si>
  <si>
    <t>FinDef Module - Controls Page</t>
  </si>
  <si>
    <t>Total Datacenter Expense</t>
  </si>
  <si>
    <t>Depreciation (from Capex)</t>
  </si>
  <si>
    <t>Opex (Leasing / Colocation)</t>
  </si>
  <si>
    <t>Datacenter Expenses</t>
  </si>
  <si>
    <t>Datacenter Expense Allocation</t>
  </si>
  <si>
    <t>To FinDefBSCloseProd1DefRev or cbal</t>
  </si>
  <si>
    <t>Closing Deferred Revenue Balance</t>
  </si>
  <si>
    <t>Deferred from this Round</t>
  </si>
  <si>
    <t>Recognized this Round</t>
  </si>
  <si>
    <t>Total Deferred Revenue Added</t>
  </si>
  <si>
    <t>Deferred Revenue (Recognized starting next round)</t>
  </si>
  <si>
    <t>Total Renewal COR</t>
  </si>
  <si>
    <t>Total COR per Renewal Unit</t>
  </si>
  <si>
    <t>Datacenter Expense per Renewal Unit</t>
  </si>
  <si>
    <t>Base COR per Renewal Unit</t>
  </si>
  <si>
    <t>Cost of Revenue - Renewal</t>
  </si>
  <si>
    <t>Total New COR</t>
  </si>
  <si>
    <t>Total COR per New Unit</t>
  </si>
  <si>
    <t>Datacenter Expense per New Unit</t>
  </si>
  <si>
    <t>Base COR per New Unit</t>
  </si>
  <si>
    <t>Cost of Revenue - New</t>
  </si>
  <si>
    <t>Renewal</t>
  </si>
  <si>
    <t>New</t>
  </si>
  <si>
    <t>FinDef Module - Calculations</t>
  </si>
  <si>
    <t>Operating Margin %</t>
  </si>
  <si>
    <t>Operating Expenses</t>
  </si>
  <si>
    <t>General and Administrative %</t>
  </si>
  <si>
    <t>From Calc page</t>
  </si>
  <si>
    <t>General and Administrative</t>
  </si>
  <si>
    <t>Marketing and Sales %</t>
  </si>
  <si>
    <t>Marketing and Sales</t>
  </si>
  <si>
    <t>Cost of Revenue</t>
  </si>
  <si>
    <t>From Deferral</t>
  </si>
  <si>
    <t>Revenue (Recognized this round)</t>
  </si>
  <si>
    <t>dataProd2Price</t>
  </si>
  <si>
    <t>dataProd3Price</t>
  </si>
  <si>
    <t>Total Revenue</t>
  </si>
  <si>
    <t>dataProd1Revenue</t>
  </si>
  <si>
    <t>dataProd2Revenue</t>
  </si>
  <si>
    <t>dataProd3Revenue</t>
  </si>
  <si>
    <t>Growth Rate</t>
  </si>
  <si>
    <t>dataProd3Seg1Revenue</t>
  </si>
  <si>
    <t>dataProd3Seg2Revenue</t>
  </si>
  <si>
    <t>dataProd3Seg3Revenue</t>
  </si>
  <si>
    <t>Revenue by Segment</t>
  </si>
  <si>
    <t>Pct</t>
  </si>
  <si>
    <t>dataTotalSeg1Revenue</t>
  </si>
  <si>
    <t>dataTotalSeg2Revenue</t>
  </si>
  <si>
    <t>dataTotalSeg3Revenue</t>
  </si>
  <si>
    <t>dataTotalProd1Revenue</t>
  </si>
  <si>
    <t>dataTotalProd2Revenue</t>
  </si>
  <si>
    <t>dataTotalProd3Revenue</t>
  </si>
  <si>
    <t>dataProd3Seg1RevenueGrowth</t>
  </si>
  <si>
    <t>dataProd3Seg2RevenueGrowth</t>
  </si>
  <si>
    <t>dataProd3Seg3RevenueGrowth</t>
  </si>
  <si>
    <t>Team 11</t>
  </si>
  <si>
    <t>Growth</t>
  </si>
  <si>
    <t>Data Centers</t>
  </si>
  <si>
    <t>Data Center Utilization</t>
  </si>
  <si>
    <t>btnPlusMinusIncr138</t>
  </si>
  <si>
    <t>btnPlusMinusMax138</t>
  </si>
  <si>
    <t>btnPlusMinusMin138</t>
  </si>
  <si>
    <t>btnPlusMinusDec138</t>
  </si>
  <si>
    <t>NavOpsRange5</t>
  </si>
  <si>
    <t>HideRowsOpsDataCenters</t>
  </si>
  <si>
    <r>
      <t>All</t>
    </r>
    <r>
      <rPr>
        <b/>
        <sz val="9.35"/>
        <color theme="0"/>
        <rFont val="Verdana"/>
        <family val="2"/>
      </rPr>
      <t xml:space="preserve"> Relative Change</t>
    </r>
    <r>
      <rPr>
        <sz val="11"/>
        <color theme="0"/>
        <rFont val="Verdana"/>
        <family val="2"/>
      </rPr>
      <t xml:space="preserve"> Drivers - Pulled in Total Calc if Relative Selected</t>
    </r>
  </si>
  <si>
    <t>All Relative Drivers - Pulled in Total Calc if Relative Selected</t>
  </si>
  <si>
    <r>
      <t xml:space="preserve">All </t>
    </r>
    <r>
      <rPr>
        <b/>
        <sz val="9.35"/>
        <color theme="0"/>
        <rFont val="Verdana"/>
        <family val="2"/>
      </rPr>
      <t>Absolute</t>
    </r>
    <r>
      <rPr>
        <sz val="11"/>
        <color theme="0"/>
        <rFont val="Verdana"/>
        <family val="2"/>
      </rPr>
      <t xml:space="preserve"> Drivers - Pulled in Total Calc if Absolute Selected</t>
    </r>
  </si>
  <si>
    <t>Manual Adjustment</t>
  </si>
  <si>
    <t>Type</t>
  </si>
  <si>
    <r>
      <rPr>
        <b/>
        <sz val="9.35"/>
        <color theme="0"/>
        <rFont val="Verdana"/>
        <family val="2"/>
      </rPr>
      <t>Total</t>
    </r>
    <r>
      <rPr>
        <sz val="11"/>
        <color theme="0"/>
        <rFont val="Verdana"/>
        <family val="2"/>
      </rPr>
      <t xml:space="preserve"> - Pulls Selected Driver by Type Selected</t>
    </r>
  </si>
  <si>
    <t>**Output to Feedback Automation module to create waterfall chart. Type of chart is "stacked column with data label."</t>
  </si>
  <si>
    <t>Feedback Slide</t>
  </si>
  <si>
    <t>Ending Values</t>
  </si>
  <si>
    <t>Min Index Value</t>
  </si>
  <si>
    <t>Max Index Value</t>
  </si>
  <si>
    <t>**Reference in ClearAdj module</t>
  </si>
  <si>
    <t>SimpleIndexAdj</t>
  </si>
  <si>
    <t>**Pull from param page</t>
  </si>
  <si>
    <t>Lookup Value</t>
  </si>
  <si>
    <t>Decrease</t>
  </si>
  <si>
    <t>Cbal Value</t>
  </si>
  <si>
    <t>Increase</t>
  </si>
  <si>
    <t>Dec Value</t>
  </si>
  <si>
    <t>Power</t>
  </si>
  <si>
    <t>Obal Value</t>
  </si>
  <si>
    <t xml:space="preserve">Driver 10 </t>
  </si>
  <si>
    <t xml:space="preserve">Driver 9 </t>
  </si>
  <si>
    <t xml:space="preserve">Driver 8 </t>
  </si>
  <si>
    <t xml:space="preserve">Driver 7 </t>
  </si>
  <si>
    <t xml:space="preserve">Driver 6 </t>
  </si>
  <si>
    <t xml:space="preserve">Driver 5 </t>
  </si>
  <si>
    <t>Non-Linear</t>
  </si>
  <si>
    <t xml:space="preserve">Driver 4 </t>
  </si>
  <si>
    <t>Impact Weighting - Relative Change</t>
  </si>
  <si>
    <t>Impact Weighting - Relative</t>
  </si>
  <si>
    <t>Impact Weighting - Absolute</t>
  </si>
  <si>
    <t>Driver Types</t>
  </si>
  <si>
    <t>Driver Values</t>
  </si>
  <si>
    <t>Driver Names</t>
  </si>
  <si>
    <t>**Pull from obal</t>
  </si>
  <si>
    <t>**Do not delete rows or columns below.</t>
  </si>
  <si>
    <t>Calculation Inputs</t>
  </si>
  <si>
    <t>**Link to xxRound</t>
  </si>
  <si>
    <t>Round Number</t>
  </si>
  <si>
    <t>**Link to xxSim0Tool1</t>
  </si>
  <si>
    <t>Sim0Tool1</t>
  </si>
  <si>
    <t>CSAT</t>
  </si>
  <si>
    <t>Index Name</t>
  </si>
  <si>
    <t>SimpleIndex Module</t>
  </si>
  <si>
    <t>Total Output</t>
  </si>
  <si>
    <t>Ending Type A FTE</t>
  </si>
  <si>
    <t>Opening Headcount</t>
  </si>
  <si>
    <t>Type A Productivity</t>
  </si>
  <si>
    <t>FTE Hiring/Output</t>
  </si>
  <si>
    <t>FTE Module</t>
  </si>
  <si>
    <t>Headcount &amp; Talent</t>
  </si>
  <si>
    <t>obalExecution</t>
  </si>
  <si>
    <t>obalHeadcount</t>
  </si>
  <si>
    <t>Challenges</t>
  </si>
  <si>
    <t>ChallengeFTEs</t>
  </si>
  <si>
    <t>ChallengeCosts</t>
  </si>
  <si>
    <t>ChallengeCPE</t>
  </si>
  <si>
    <t>ChallengeWHI</t>
  </si>
  <si>
    <t>ChallengeCustSuccessRev</t>
  </si>
  <si>
    <t>Customer Success Revenue</t>
  </si>
  <si>
    <t>Customer Success WHI</t>
  </si>
  <si>
    <t>ChallengeCustSuccessWHI</t>
  </si>
  <si>
    <t>Customer Success CSAT</t>
  </si>
  <si>
    <t>ChallengeCustSuccessCSAT</t>
  </si>
  <si>
    <t>Customer Success Operating Margin</t>
  </si>
  <si>
    <t>ChallengeCustSuccessOpMargin</t>
  </si>
  <si>
    <t>ChallengeExecution</t>
  </si>
  <si>
    <t>Execution</t>
  </si>
  <si>
    <t>calcExecution</t>
  </si>
  <si>
    <t>Currently Employed</t>
  </si>
  <si>
    <t>Decision</t>
  </si>
  <si>
    <t>calcFulltimeFTEs</t>
  </si>
  <si>
    <t>New Hire Productivity</t>
  </si>
  <si>
    <t>obalNewHireProductivity</t>
  </si>
  <si>
    <t>Ending Headcount</t>
  </si>
  <si>
    <t>calcEndingHeadcount</t>
  </si>
  <si>
    <t>calcTotalFTEs</t>
  </si>
  <si>
    <t>cbalHeadcount</t>
  </si>
  <si>
    <t>cbalExecution</t>
  </si>
  <si>
    <t>cbalNewHireProductivity</t>
  </si>
  <si>
    <t>FTE Allocation</t>
  </si>
  <si>
    <t>Total FTEs Available</t>
  </si>
  <si>
    <t>Partner Activities Lookup Table</t>
  </si>
  <si>
    <t>Expense</t>
  </si>
  <si>
    <t>dataTablePartnerActivity</t>
  </si>
  <si>
    <t>Opening Partner Development</t>
  </si>
  <si>
    <t>Ending Partner Development</t>
  </si>
  <si>
    <t>Opening Partner Incentives</t>
  </si>
  <si>
    <t>Ending Partner Incentives</t>
  </si>
  <si>
    <t>Opening Partner Education</t>
  </si>
  <si>
    <t>Ending Partner Education</t>
  </si>
  <si>
    <t>Platform Investments Lookup Table</t>
  </si>
  <si>
    <t>dataTablePlatformInvestments</t>
  </si>
  <si>
    <t>obalEGScalability</t>
  </si>
  <si>
    <t>obalEGSecurity</t>
  </si>
  <si>
    <t>obalEGInteroperability</t>
  </si>
  <si>
    <t>obalEGProd1Offering1</t>
  </si>
  <si>
    <t>obalEGProd1Offering2</t>
  </si>
  <si>
    <t>obalEGProd2Offering1</t>
  </si>
  <si>
    <t>obalEGProd2Offering2</t>
  </si>
  <si>
    <t>obalEGProd3Offering1</t>
  </si>
  <si>
    <t>obalEGProd3Offering2</t>
  </si>
  <si>
    <t>Offering Investments Lookup Table</t>
  </si>
  <si>
    <t>dataTableOfferingInvestments</t>
  </si>
  <si>
    <t>Opening Security</t>
  </si>
  <si>
    <t>Ending Security</t>
  </si>
  <si>
    <t>calcEGSecurity</t>
  </si>
  <si>
    <t>Opening Scalability</t>
  </si>
  <si>
    <t>Ending Scalability</t>
  </si>
  <si>
    <t>calcEGScalability</t>
  </si>
  <si>
    <t>Opening Interoperability</t>
  </si>
  <si>
    <t>Ending Interoperability</t>
  </si>
  <si>
    <t>calcEGInteroperability</t>
  </si>
  <si>
    <t>calcEGProd1Offering1</t>
  </si>
  <si>
    <t>calcEGProd1Offering2</t>
  </si>
  <si>
    <t>calcEGProd2Offering1</t>
  </si>
  <si>
    <t>calcEGProd2Offering2</t>
  </si>
  <si>
    <t>calcEGProd3Offering1</t>
  </si>
  <si>
    <t>calcEGProd3Offering2</t>
  </si>
  <si>
    <t>cbalEGSecurity</t>
  </si>
  <si>
    <t>cbalEGScalability</t>
  </si>
  <si>
    <t>cbalEGInteroperability</t>
  </si>
  <si>
    <t>cbalEGProd1Offering1</t>
  </si>
  <si>
    <t>cbalEGProd1Offering2</t>
  </si>
  <si>
    <t>cbalEGProd2Offering1</t>
  </si>
  <si>
    <t>cbalEGProd2Offering2</t>
  </si>
  <si>
    <t>cbalEGProd3Offering1</t>
  </si>
  <si>
    <t>cbalEGProd3Offering2</t>
  </si>
  <si>
    <t>Sales Collaboration</t>
  </si>
  <si>
    <t>Total MCB FTEs</t>
  </si>
  <si>
    <t>Skills Investment Table</t>
  </si>
  <si>
    <t>dataTableSkillsInvestments</t>
  </si>
  <si>
    <t>calcOpsSalesCollabFTEs</t>
  </si>
  <si>
    <t>calcOpsITFTEs</t>
  </si>
  <si>
    <t>calcOpsSupplyChainFTEs</t>
  </si>
  <si>
    <t>Total Ops FTEs</t>
  </si>
  <si>
    <t>calcOpsTotalFTEs</t>
  </si>
  <si>
    <t>FTEs Remaining</t>
  </si>
  <si>
    <t>calcFTEsAvailable</t>
  </si>
  <si>
    <t>calcFTEsRemaining</t>
  </si>
  <si>
    <t>Direct Sales Salary</t>
  </si>
  <si>
    <t>Inside Sales Salary</t>
  </si>
  <si>
    <t>Services Salary</t>
  </si>
  <si>
    <t>Miscellaneous</t>
  </si>
  <si>
    <t>DirectSalesSalary</t>
  </si>
  <si>
    <t>InsideSalesSalary</t>
  </si>
  <si>
    <t>ServicesSalary</t>
  </si>
  <si>
    <t>Unallocated Salary</t>
  </si>
  <si>
    <t>Decision Expenses</t>
  </si>
  <si>
    <t>Operations Salary</t>
  </si>
  <si>
    <t>OperationsSalary</t>
  </si>
  <si>
    <t>UnallocatedSalary</t>
  </si>
  <si>
    <t>Talent Development Salary</t>
  </si>
  <si>
    <t>Marketing &amp; Operations</t>
  </si>
  <si>
    <t>tlConsumer</t>
  </si>
  <si>
    <t>tlCommercial</t>
  </si>
  <si>
    <t>btnLevelLevels26</t>
  </si>
  <si>
    <t>btnLevelSheet26</t>
  </si>
  <si>
    <t>btnLevelDec26</t>
  </si>
  <si>
    <t>btnLevelLevels27</t>
  </si>
  <si>
    <t>btnLevelSheet27</t>
  </si>
  <si>
    <t>btnLevelDec27</t>
  </si>
  <si>
    <t>btnLevelLevels28</t>
  </si>
  <si>
    <t>btnLevelSheet28</t>
  </si>
  <si>
    <t>btnLevelDec28</t>
  </si>
  <si>
    <t>Partner Activities</t>
  </si>
  <si>
    <t>Partner Prioritization</t>
  </si>
  <si>
    <t>TOTAL MARKETING  BUDGET</t>
  </si>
  <si>
    <t>% of Total Budget</t>
  </si>
  <si>
    <t>HideRowsOpsMarketing</t>
  </si>
  <si>
    <t>NavOpsRange6</t>
  </si>
  <si>
    <t>NavConsumerTotalButtons</t>
  </si>
  <si>
    <t>NavConsumerDeselectedButton</t>
  </si>
  <si>
    <t>NavConsumerSelectedButton</t>
  </si>
  <si>
    <t>HideRowsConsumerPricing</t>
  </si>
  <si>
    <t>NavConsumerRange1</t>
  </si>
  <si>
    <t>HideRowsConsumerSalesServices</t>
  </si>
  <si>
    <t>NavConsumerRange2</t>
  </si>
  <si>
    <t>NavConsumerRange3</t>
  </si>
  <si>
    <t>HideRowsConsumerPartner</t>
  </si>
  <si>
    <t>NavCommercialTotalButtons</t>
  </si>
  <si>
    <t>NavCommercialDeselectedButton</t>
  </si>
  <si>
    <t>NavCommercialSelectedButton</t>
  </si>
  <si>
    <t>HideRowsCommercialPricing</t>
  </si>
  <si>
    <t>NavCommercialRange1</t>
  </si>
  <si>
    <t>HideRowsCommercialSalesServices</t>
  </si>
  <si>
    <t>NavCommercialRange2</t>
  </si>
  <si>
    <t>NavCommercialRange3</t>
  </si>
  <si>
    <t>HideRowsCommercialPartner</t>
  </si>
  <si>
    <t>NavCommercialRange4</t>
  </si>
  <si>
    <t>decCommercialDirectSalesFTEs</t>
  </si>
  <si>
    <t>decCommercialInsideSalesFTEs</t>
  </si>
  <si>
    <t>decCommercialPartner1Pct</t>
  </si>
  <si>
    <t>decCommercialPartner2Pct</t>
  </si>
  <si>
    <t>decCommercialPartner3Pct</t>
  </si>
  <si>
    <t>Consumer Marketing Budget</t>
  </si>
  <si>
    <t>decConsumerDirectSalesFTEs</t>
  </si>
  <si>
    <t>decConsumerInsideSalesFTEs</t>
  </si>
  <si>
    <t>decConsumerServicesFTEs</t>
  </si>
  <si>
    <t>decConsumerPartner4Pct</t>
  </si>
  <si>
    <t>decConsumerPartner5Pct</t>
  </si>
  <si>
    <t>decCommercialPartnerDevelopment</t>
  </si>
  <si>
    <t>decCommercialPartnerIncentives</t>
  </si>
  <si>
    <t>decCommercialPartnerEducation</t>
  </si>
  <si>
    <t>decOpsTotalMarketingBudget</t>
  </si>
  <si>
    <t>decOpsCommercialMarketingBudget</t>
  </si>
  <si>
    <t>decConsumerPartnerDevelopment</t>
  </si>
  <si>
    <t>decConsumerPartnerIncentives</t>
  </si>
  <si>
    <t>decConsumerPartnerEducation</t>
  </si>
  <si>
    <t>calcCommercialPartnerDevelopmentFTEs</t>
  </si>
  <si>
    <t>calcCommercialPartnerIncentivesFTEs</t>
  </si>
  <si>
    <t>calcCommercialPartnerEducationFTEs</t>
  </si>
  <si>
    <t>calcCommercialDirectSalesFTEs</t>
  </si>
  <si>
    <t>calcCommercialInsideSalesFTEs</t>
  </si>
  <si>
    <t>calcCommercialTotalFTEs</t>
  </si>
  <si>
    <t>Total Commercial FTEs</t>
  </si>
  <si>
    <t>calcConsumerPartnerDevelopmentFTEs</t>
  </si>
  <si>
    <t>calcConsumerPartnerIncentivesFTEs</t>
  </si>
  <si>
    <t>calcConsumerPartnerEducationFTEs</t>
  </si>
  <si>
    <t>calcConsumerDirectSalesFTEs</t>
  </si>
  <si>
    <t>calcConsumerInsideSalesFTEs</t>
  </si>
  <si>
    <t>calcConsumerServicesFTEs</t>
  </si>
  <si>
    <t>calcConsumerTotalFTEs</t>
  </si>
  <si>
    <t>calcCommercialDirectSalesSalary</t>
  </si>
  <si>
    <t>calcCommercialInsideSalesSalary</t>
  </si>
  <si>
    <t>Total Commercial Expense</t>
  </si>
  <si>
    <t>calcCommercialTotalSalary</t>
  </si>
  <si>
    <t>calcConsumerDirectSalesSalary</t>
  </si>
  <si>
    <t>calcConsumerInsideSalesSalary</t>
  </si>
  <si>
    <t>calcConsumerServicesSalary</t>
  </si>
  <si>
    <t>Total Consumer Expense</t>
  </si>
  <si>
    <t>calcConsumerTalentSalary</t>
  </si>
  <si>
    <t>calcOpsTotalMarketingExp</t>
  </si>
  <si>
    <t>calcOpsTotalExp</t>
  </si>
  <si>
    <t>Ops</t>
  </si>
  <si>
    <t>Total Ops Expenses</t>
  </si>
  <si>
    <t>IT Salary</t>
  </si>
  <si>
    <t>Supply Chain Salary</t>
  </si>
  <si>
    <t>calcCommercialPartnerDevelopment</t>
  </si>
  <si>
    <t>calcCommercialPartnerIncentives</t>
  </si>
  <si>
    <t>calcCommercialPartnerEducation</t>
  </si>
  <si>
    <t>obalOpsTotalMarketing</t>
  </si>
  <si>
    <t>obalOpsProd1Seg1Share</t>
  </si>
  <si>
    <t>obalOpsProd1Seg2Share</t>
  </si>
  <si>
    <t>obalOpsProd1Seg3Share</t>
  </si>
  <si>
    <t>obalOpsProd2Seg1Share</t>
  </si>
  <si>
    <t>obalOpsProd2Seg2Share</t>
  </si>
  <si>
    <t>obalOpsProd3Seg1Share</t>
  </si>
  <si>
    <t>obalOpsProd3Seg2Share</t>
  </si>
  <si>
    <t>obalOpsProd3Seg3Share</t>
  </si>
  <si>
    <t>obalCommercialProd1Price</t>
  </si>
  <si>
    <t>obalCommercialProd2Price</t>
  </si>
  <si>
    <t>obalCommercialProd3Price</t>
  </si>
  <si>
    <t>obalCommercialDirectSalesFTEs</t>
  </si>
  <si>
    <t>obalCommercialInsideSalesFTEs</t>
  </si>
  <si>
    <t>obalCommercialTotalMarketing</t>
  </si>
  <si>
    <t>obalCommercialProd1Marketing</t>
  </si>
  <si>
    <t>obalCommercialProd2Marketing</t>
  </si>
  <si>
    <t>obalCommercialProd3Marketing</t>
  </si>
  <si>
    <t>obalCommercialPartner1Pct</t>
  </si>
  <si>
    <t>obalCommercialPartner2Pct</t>
  </si>
  <si>
    <t>obalCommercialPartner3Pct</t>
  </si>
  <si>
    <t>obalCommercialPartner4Pct</t>
  </si>
  <si>
    <t>obalConsumerProd1Price</t>
  </si>
  <si>
    <t>obalConsumerProd3Price</t>
  </si>
  <si>
    <t>obalConsumerDirectSalesFTEs</t>
  </si>
  <si>
    <t>obalConsumerInsideSalesFTEs</t>
  </si>
  <si>
    <t>obalConsumerServicesFTEs</t>
  </si>
  <si>
    <t>obalConsumerTotalMarketing</t>
  </si>
  <si>
    <t>obalConsumerProd1Marketing</t>
  </si>
  <si>
    <t>obalConsumerProd3Marketing</t>
  </si>
  <si>
    <t>obalConsumerPartner4Pct</t>
  </si>
  <si>
    <t>obalConsumerPartner5Pct</t>
  </si>
  <si>
    <t>obalConsumerPartner6Pct</t>
  </si>
  <si>
    <t>obalCommercialPartnerDevelopment</t>
  </si>
  <si>
    <t>obalCommercialPartnerIncentives</t>
  </si>
  <si>
    <t>obalCommercialPartnerEducation</t>
  </si>
  <si>
    <t>obalConsumerPartnerDevelopment</t>
  </si>
  <si>
    <t>obalConsumerPartnerIncentives</t>
  </si>
  <si>
    <t>obalConsumerPartnerEducation</t>
  </si>
  <si>
    <t>calcConsumerPartnerDevelopment</t>
  </si>
  <si>
    <t>calcConsumerPartnerIncentives</t>
  </si>
  <si>
    <t>calcConsumerPartnerEducation</t>
  </si>
  <si>
    <t>calcOpsITSalary</t>
  </si>
  <si>
    <t>calcOpsSupplyChainSalary</t>
  </si>
  <si>
    <t>Hiring Skills Lookup Table</t>
  </si>
  <si>
    <t>Skill Name</t>
  </si>
  <si>
    <t>dataTableHiringSkill</t>
  </si>
  <si>
    <t>Increase/Decrease</t>
  </si>
  <si>
    <t>Pricing Lookup Table</t>
  </si>
  <si>
    <t>dataTablePricing</t>
  </si>
  <si>
    <t>calcCommercialProd1Price</t>
  </si>
  <si>
    <t>calcCommercialProd2Price</t>
  </si>
  <si>
    <t>calcCommercialProd3Price</t>
  </si>
  <si>
    <t>calcConsumerProd1Price</t>
  </si>
  <si>
    <t>calcConsumerProd3Price</t>
  </si>
  <si>
    <t>Commercial Pct</t>
  </si>
  <si>
    <t>Ending Commercial Marketing Budget</t>
  </si>
  <si>
    <t>Total Commercial Marketing Budget</t>
  </si>
  <si>
    <t>decOpsCommercialProd1Marketing</t>
  </si>
  <si>
    <t>decOpsCommercialProd2Marketing</t>
  </si>
  <si>
    <t>decOpsConsumerProd1Marketing</t>
  </si>
  <si>
    <t>calcOpsCommercialProd1MarketingBudget</t>
  </si>
  <si>
    <t>calcOpsCommercialProd2MarketingBudget</t>
  </si>
  <si>
    <t>calcOpsCommercialProd3MarketingBudget</t>
  </si>
  <si>
    <t>Total Consumer Marketing Budget</t>
  </si>
  <si>
    <t>calcOpsConsumerProd1MarketingBudget</t>
  </si>
  <si>
    <t>calcOpsConsumerProd3MarketingBudget</t>
  </si>
  <si>
    <t>Consumer Pct</t>
  </si>
  <si>
    <t>Ending Consumer Marketing Budget</t>
  </si>
  <si>
    <t>calcOpsCommercialTotalMarketingBudget</t>
  </si>
  <si>
    <t>calcOpsConsumerTotalMarketingBudget</t>
  </si>
  <si>
    <t>Total Partner Budget</t>
  </si>
  <si>
    <t>calcCommercialPartnerDevelopmentExp</t>
  </si>
  <si>
    <t>calcCommercialPartnerIncentivesExp</t>
  </si>
  <si>
    <t>calcCommercialPartnerEducationExp</t>
  </si>
  <si>
    <t>calcCommercialFixedPartnerExp</t>
  </si>
  <si>
    <t>calcConsumerPartnerDevelopmentExp</t>
  </si>
  <si>
    <t>calcConsumerPartnerIncentivesExp</t>
  </si>
  <si>
    <t>calcConsumerPartnerEducationExp</t>
  </si>
  <si>
    <t>calcConsumerFixedPartnerExp</t>
  </si>
  <si>
    <t>Fixed Partner Budget</t>
  </si>
  <si>
    <t>FixedPartnerBudget</t>
  </si>
  <si>
    <t>obalCommercialTotalPartnerBudget</t>
  </si>
  <si>
    <t>obalCommercialPartner1Budget</t>
  </si>
  <si>
    <t>obalCommercialPartner2Budget</t>
  </si>
  <si>
    <t>obalCommercialPartner3Budget</t>
  </si>
  <si>
    <t>obalCommercialPartner4Budget</t>
  </si>
  <si>
    <t>obalConsumerTotalPartnerBudget</t>
  </si>
  <si>
    <t>obalConsumerPartner4Budget</t>
  </si>
  <si>
    <t>obalConsumerPartner5Budget</t>
  </si>
  <si>
    <t>obalConsumerPartner6Budget</t>
  </si>
  <si>
    <t>cbalOpsProd1Seg1Share</t>
  </si>
  <si>
    <t>cbalOpsProd1Seg2Share</t>
  </si>
  <si>
    <t>cbalOpsProd1Seg3Share</t>
  </si>
  <si>
    <t>cbalOpsProd2Seg1Share</t>
  </si>
  <si>
    <t>cbalOpsProd2Seg2Share</t>
  </si>
  <si>
    <t>cbalOpsProd3Seg1Share</t>
  </si>
  <si>
    <t>cbalOpsProd3Seg2Share</t>
  </si>
  <si>
    <t>cbalOpsProd3Seg3Share</t>
  </si>
  <si>
    <t>cbalOpsTotalMarketing</t>
  </si>
  <si>
    <t>cbalCommercialProd1Price</t>
  </si>
  <si>
    <t>cbalCommercialProd2Price</t>
  </si>
  <si>
    <t>cbalCommercialProd3Price</t>
  </si>
  <si>
    <t>cbalCommercialDirectSalesFTEs</t>
  </si>
  <si>
    <t>cbalCommercialInsideSalesFTEs</t>
  </si>
  <si>
    <t>cbalCommercialTotalMarketing</t>
  </si>
  <si>
    <t>cbalCommercialProd1Marketing</t>
  </si>
  <si>
    <t>cbalCommercialProd2Marketing</t>
  </si>
  <si>
    <t>cbalCommercialProd3Marketing</t>
  </si>
  <si>
    <t>cbalCommercialPartnerDevelopment</t>
  </si>
  <si>
    <t>cbalCommercialPartnerIncentives</t>
  </si>
  <si>
    <t>cbalCommercialPartnerEducation</t>
  </si>
  <si>
    <t>cbalCommercialPartner1Pct</t>
  </si>
  <si>
    <t>cbalCommercialPartner2Pct</t>
  </si>
  <si>
    <t>cbalCommercialPartner3Pct</t>
  </si>
  <si>
    <t>cbalCommercialPartner4Pct</t>
  </si>
  <si>
    <t>cbalCommercialTotalPartnerBudget</t>
  </si>
  <si>
    <t>cbalCommercialPartner1Budget</t>
  </si>
  <si>
    <t>cbalCommercialPartner2Budget</t>
  </si>
  <si>
    <t>cbalCommercialPartner3Budget</t>
  </si>
  <si>
    <t>cbalCommercialPartner4Budget</t>
  </si>
  <si>
    <t>cbalConsumerProd1Price</t>
  </si>
  <si>
    <t>cbalConsumerProd3Price</t>
  </si>
  <si>
    <t>cbalConsumerDirectSalesFTEs</t>
  </si>
  <si>
    <t>cbalConsumerInsideSalesFTEs</t>
  </si>
  <si>
    <t>cbalConsumerServicesFTEs</t>
  </si>
  <si>
    <t>cbalConsumerTotalMarketing</t>
  </si>
  <si>
    <t>cbalConsumerProd1Marketing</t>
  </si>
  <si>
    <t>cbalConsumerProd3Marketing</t>
  </si>
  <si>
    <t>cbalConsumerPartnerDevelopment</t>
  </si>
  <si>
    <t>cbalConsumerPartnerIncentives</t>
  </si>
  <si>
    <t>cbalConsumerPartnerEducation</t>
  </si>
  <si>
    <t>cbalConsumerPartner4Pct</t>
  </si>
  <si>
    <t>cbalConsumerPartner5Pct</t>
  </si>
  <si>
    <t>cbalConsumerPartner6Pct</t>
  </si>
  <si>
    <t>cbalConsumerTotalPartnerBudget</t>
  </si>
  <si>
    <t>cbalConsumerPartner4Budget</t>
  </si>
  <si>
    <t>cbalConsumerPartner5Budget</t>
  </si>
  <si>
    <t>cbalConsumerPartner6Budget</t>
  </si>
  <si>
    <t>calcCPE</t>
  </si>
  <si>
    <t>calcWHI</t>
  </si>
  <si>
    <t>Key Metrics</t>
  </si>
  <si>
    <t>obalCPE</t>
  </si>
  <si>
    <t>obalWHI</t>
  </si>
  <si>
    <t>cbalCPE</t>
  </si>
  <si>
    <t>cbalWHI</t>
  </si>
  <si>
    <t>obalOpsSalesCollabFTEs</t>
  </si>
  <si>
    <t>obalOpsITFTEs</t>
  </si>
  <si>
    <t>obalOpsSupplyChainFTEs</t>
  </si>
  <si>
    <t>cbalOpsITFTEs</t>
  </si>
  <si>
    <t>cbalOpsSupplyChainFTEs</t>
  </si>
  <si>
    <t>cbalCommercialTotalPartnerFTEs</t>
  </si>
  <si>
    <t>cbalCommercialPartner1FTEs</t>
  </si>
  <si>
    <t>cbalCommercialPartner2FTEs</t>
  </si>
  <si>
    <t>cbalCommercialPartner3FTEs</t>
  </si>
  <si>
    <t>cbalCommercialPartner4FTEs</t>
  </si>
  <si>
    <t>Total Partner FTEs</t>
  </si>
  <si>
    <t>Commercial Partner Budget/FTE Allocation</t>
  </si>
  <si>
    <t>calcCommercialTotalPartnerBudget</t>
  </si>
  <si>
    <t>calcCommercialPartner1Budget</t>
  </si>
  <si>
    <t>calcCommercialPartner2Budget</t>
  </si>
  <si>
    <t>calcCommercialPartner3Budget</t>
  </si>
  <si>
    <t>calcCommercialPartner4Budget</t>
  </si>
  <si>
    <t>calcCommercialTotalPartnerFTEs</t>
  </si>
  <si>
    <t>calcCommercialPartner1FTEs</t>
  </si>
  <si>
    <t>calcCommercialPartner2FTEs</t>
  </si>
  <si>
    <t>calcCommercialPartner3FTEs</t>
  </si>
  <si>
    <t>calcCommercialPartner4FTEs</t>
  </si>
  <si>
    <t>Consumer Partner Budget/FTE Allocation</t>
  </si>
  <si>
    <t>calcConsumerTotalPartnerBudget</t>
  </si>
  <si>
    <t>calcConsumerPartner4Budget</t>
  </si>
  <si>
    <t>calcConsumerPartner5Budget</t>
  </si>
  <si>
    <t>calcConsumerPartner6Budget</t>
  </si>
  <si>
    <t>calcConsumerTotalPartnerFTEs</t>
  </si>
  <si>
    <t>calcConsumerPartner4FTEs</t>
  </si>
  <si>
    <t>calcConsumerPartner5FTEs</t>
  </si>
  <si>
    <t>calcConsumerPartner6FTEs</t>
  </si>
  <si>
    <t>cbalConsumerTotalPartnerFTEs</t>
  </si>
  <si>
    <t>cbalConsumerPartner4FTEs</t>
  </si>
  <si>
    <t>cbalConsumerPartner5FTEs</t>
  </si>
  <si>
    <t>cbalConsumerPartner6FTEs</t>
  </si>
  <si>
    <t>obalCommercialTotalPartnerFTEs</t>
  </si>
  <si>
    <t>obalCommercialPartner1FTEs</t>
  </si>
  <si>
    <t>obalCommercialPartner2FTEs</t>
  </si>
  <si>
    <t>obalCommercialPartner3FTEs</t>
  </si>
  <si>
    <t>obalCommercialPartner4FTEs</t>
  </si>
  <si>
    <t>obalConsumerTotalPartnerFTEs</t>
  </si>
  <si>
    <t>obalConsumerPartner4FTEs</t>
  </si>
  <si>
    <t>obalConsumerPartner5FTEs</t>
  </si>
  <si>
    <t>obalConsumerPartner6FTEs</t>
  </si>
  <si>
    <t>Engineering Time Units</t>
  </si>
  <si>
    <t>obalETUs</t>
  </si>
  <si>
    <t>cbalETUs</t>
  </si>
  <si>
    <t>ETUs</t>
  </si>
  <si>
    <t>Total ETUs Available</t>
  </si>
  <si>
    <t>calcETUsAvailable</t>
  </si>
  <si>
    <t>Total ETUs</t>
  </si>
  <si>
    <t>ETUs Remaining</t>
  </si>
  <si>
    <t>calcETUsRemaining</t>
  </si>
  <si>
    <t>calcEGSecurityETUs</t>
  </si>
  <si>
    <t>calcEGScalabilityETUs</t>
  </si>
  <si>
    <t>calcEGInteroperabilityETUs</t>
  </si>
  <si>
    <t>calcEGProd1Offering1ETUs</t>
  </si>
  <si>
    <t>calcEGProd1Offering2ETUs</t>
  </si>
  <si>
    <t>calcEGProd2Offering1ETUs</t>
  </si>
  <si>
    <t>calcEGProd2Offering2ETUs</t>
  </si>
  <si>
    <t>calcEGProd3Offering1ETUs</t>
  </si>
  <si>
    <t>calcEGProd3Offering2ETUs</t>
  </si>
  <si>
    <t>calcEGTotalETUs</t>
  </si>
  <si>
    <t>Dashboard 4</t>
  </si>
  <si>
    <t>obalProd1Seg1NewSubs</t>
  </si>
  <si>
    <t>obalProd1Seg1RenewedSubs</t>
  </si>
  <si>
    <t>obalProd1Seg1TotalSubs</t>
  </si>
  <si>
    <t>mmSubProd1Seg2FinModel</t>
  </si>
  <si>
    <t>mmSubProd1Seg2AttachSwitch</t>
  </si>
  <si>
    <t>mmSubProd1Seg2RevBalancing</t>
  </si>
  <si>
    <t>mmSubProd1Seg2BookingsBalancing</t>
  </si>
  <si>
    <t>mmSubProd1Seg2EoPARRBalancing</t>
  </si>
  <si>
    <t>mmSubProd1Seg2NetARRBalancing</t>
  </si>
  <si>
    <t>**This value times 5 determines mmSubProd1Seg2NewTAM</t>
  </si>
  <si>
    <t>mmSubProd1Seg2NewTAM</t>
  </si>
  <si>
    <t>mmSubProd1Seg3FinModel</t>
  </si>
  <si>
    <t>mmSubProd1Seg3AttachSwitch</t>
  </si>
  <si>
    <t>mmSubProd1Seg3RevBalancing</t>
  </si>
  <si>
    <t>mmSubProd1Seg3BookingsBalancing</t>
  </si>
  <si>
    <t>mmSubProd1Seg3EoPARRBalancing</t>
  </si>
  <si>
    <t>mmSubProd1Seg3NetARRBalancing</t>
  </si>
  <si>
    <t>**This value times 5 determines mmSubProd1Seg3NewTAM</t>
  </si>
  <si>
    <t>mmSubProd2Seg1FinModel</t>
  </si>
  <si>
    <t>mmSubProd2Seg1AttachSwitch</t>
  </si>
  <si>
    <t>mmSubProd2Seg1RevBalancing</t>
  </si>
  <si>
    <t>mmSubProd2Seg1BookingsBalancing</t>
  </si>
  <si>
    <t>mmSubProd2Seg1EoPARRBalancing</t>
  </si>
  <si>
    <t>mmSubProd2Seg1NetARRBalancing</t>
  </si>
  <si>
    <t>**This value times 5 determines mmSubProd2Seg1NewTAM</t>
  </si>
  <si>
    <t>mmSubProd2Seg1NewTAM</t>
  </si>
  <si>
    <t>mmSubProd2Seg2FinModel</t>
  </si>
  <si>
    <t>mmSubProd2Seg2AttachSwitch</t>
  </si>
  <si>
    <t>mmSubProd2Seg2RevBalancing</t>
  </si>
  <si>
    <t>mmSubProd2Seg2BookingsBalancing</t>
  </si>
  <si>
    <t>mmSubProd2Seg2EoPARRBalancing</t>
  </si>
  <si>
    <t>mmSubProd2Seg2NetARRBalancing</t>
  </si>
  <si>
    <t>**This value times 5 determines mmSubProd2Seg2NewTAM</t>
  </si>
  <si>
    <t>mmSubProd2Seg2NewTAM</t>
  </si>
  <si>
    <t>cbalProd1Seg1NewSubs</t>
  </si>
  <si>
    <t>cbalProd1Seg1RenewedSubs</t>
  </si>
  <si>
    <t>cbalProd1Seg1TotalSubs</t>
  </si>
  <si>
    <t>Subscriptions</t>
  </si>
  <si>
    <t>obalProd1Seg2NewSubs</t>
  </si>
  <si>
    <t>obalProd1Seg2RenewedSubs</t>
  </si>
  <si>
    <t>obalProd1Seg2TotalSubs</t>
  </si>
  <si>
    <t>obalProd1Seg3NewSubs</t>
  </si>
  <si>
    <t>obalProd1Seg3RenewedSubs</t>
  </si>
  <si>
    <t>obalProd1Seg3TotalSubs</t>
  </si>
  <si>
    <t>obalProd2Seg1NewSubs</t>
  </si>
  <si>
    <t>obalProd2Seg1RenewedSubs</t>
  </si>
  <si>
    <t>obalProd2Seg1TotalSubs</t>
  </si>
  <si>
    <t>obalProd2Seg2NewSubs</t>
  </si>
  <si>
    <t>obalProd2Seg2RenewedSubs</t>
  </si>
  <si>
    <t>obalProd2Seg2TotalSubs</t>
  </si>
  <si>
    <t>cbalProd1Seg2NewSubs</t>
  </si>
  <si>
    <t>cbalProd1Seg2RenewedSubs</t>
  </si>
  <si>
    <t>cbalProd1Seg2TotalSubs</t>
  </si>
  <si>
    <t>cbalProd1Seg3NewSubs</t>
  </si>
  <si>
    <t>cbalProd1Seg3RenewedSubs</t>
  </si>
  <si>
    <t>cbalProd1Seg3TotalSubs</t>
  </si>
  <si>
    <t>cbalProd2Seg1NewSubs</t>
  </si>
  <si>
    <t>cbalProd2Seg1RenewedSubs</t>
  </si>
  <si>
    <t>cbalProd2Seg1TotalSubs</t>
  </si>
  <si>
    <t>cbalProd2Seg2NewSubs</t>
  </si>
  <si>
    <t>cbalProd2Seg2RenewedSubs</t>
  </si>
  <si>
    <t>cbalProd2Seg2TotalSubs</t>
  </si>
  <si>
    <t>Deferred Revenue Balances</t>
  </si>
  <si>
    <t>obalProd1Seg1DefRev</t>
  </si>
  <si>
    <t>obalProd2Seg1DefRev</t>
  </si>
  <si>
    <t>obalProd1Seg2DefRev</t>
  </si>
  <si>
    <t>obalProd1Seg3DefRev</t>
  </si>
  <si>
    <t>obalProd2Seg2DefRev</t>
  </si>
  <si>
    <t>Salaries</t>
  </si>
  <si>
    <t>Prod1COGSPNewUnit</t>
  </si>
  <si>
    <t>Prod2COGSPNewUnit</t>
  </si>
  <si>
    <t>Prod1COGSPRenewalUnit</t>
  </si>
  <si>
    <t>Prod2COGSPRenewalUnit</t>
  </si>
  <si>
    <t>Total Opex Investment</t>
  </si>
  <si>
    <t>Total Capex Investment</t>
  </si>
  <si>
    <t>Current Investment</t>
  </si>
  <si>
    <t>Investment Required</t>
  </si>
  <si>
    <t>Opex Investment</t>
  </si>
  <si>
    <t>Capex Investment</t>
  </si>
  <si>
    <t>**Output to chart on tool page, CSAT index module, reports, and feedbacks</t>
  </si>
  <si>
    <t>**Hard-code or link to dec page (slider on tool page).</t>
  </si>
  <si>
    <t>Opex Expense Multiplier</t>
  </si>
  <si>
    <t>Capex Expense Multiplier</t>
  </si>
  <si>
    <t>Cost Multipliers (magnify impact of Investment per Level)</t>
  </si>
  <si>
    <t>Cost Inputs</t>
  </si>
  <si>
    <t>Investment Required/Hosted Sales</t>
  </si>
  <si>
    <t>Parameter Inputs</t>
  </si>
  <si>
    <t>Projected Utilization</t>
  </si>
  <si>
    <t>Level per Round</t>
  </si>
  <si>
    <t>Sensitivity Analysis</t>
  </si>
  <si>
    <t>Projected Cumulative. Investment</t>
  </si>
  <si>
    <t>Projected Cloud Sales</t>
  </si>
  <si>
    <t>Utilization Desired</t>
  </si>
  <si>
    <t>Average Team</t>
  </si>
  <si>
    <t>Balancing Inputs</t>
  </si>
  <si>
    <t>Infrastructure</t>
  </si>
  <si>
    <t>Data Center</t>
  </si>
  <si>
    <t>decOpsDataCenter</t>
  </si>
  <si>
    <t>obalOpsDataCenter</t>
  </si>
  <si>
    <t>cbalOpsDataCenter</t>
  </si>
  <si>
    <t>DataCenterCost</t>
  </si>
  <si>
    <t>Data Center Cost</t>
  </si>
  <si>
    <t>calcDataCenter Module</t>
  </si>
  <si>
    <t>calcDataCenterRound</t>
  </si>
  <si>
    <t>Total calcDataCenter-Hosted Sales</t>
  </si>
  <si>
    <t>calcDataCenterSales</t>
  </si>
  <si>
    <t>In-Round calcDataCenter Investment</t>
  </si>
  <si>
    <t>calcDataCenterInvestDec</t>
  </si>
  <si>
    <t>Cumulative calcDataCenter Investment</t>
  </si>
  <si>
    <t>calcDataCenterInvestCum</t>
  </si>
  <si>
    <t>calcDataCenter Investment/Level</t>
  </si>
  <si>
    <t>calcDataCenterInvestPLevel</t>
  </si>
  <si>
    <t>calcDataCenterRequiredSales</t>
  </si>
  <si>
    <t>**Can link to param page. Initiatives and events can impact calcDataCenter utilization via this parameter.</t>
  </si>
  <si>
    <t>calcDataCenterCapexMult</t>
  </si>
  <si>
    <t>calcDataCenterOpexMult</t>
  </si>
  <si>
    <t>calcDataCenters - % Capex investment</t>
  </si>
  <si>
    <t>calcDataCenterCapexPerc</t>
  </si>
  <si>
    <t>calcDataCenters - % Opex investment</t>
  </si>
  <si>
    <t>calcDataCenterOpexPerc</t>
  </si>
  <si>
    <t>calcDataCenter Capacity</t>
  </si>
  <si>
    <t>calcDataCenterUtilization</t>
  </si>
  <si>
    <t>calcDataCenterCapex</t>
  </si>
  <si>
    <t>**Output to FinDefBSCloseDCValue and FinDefCF calcDataCenter Invest (-)</t>
  </si>
  <si>
    <t>calcDataCenterOpex</t>
  </si>
  <si>
    <t>**Output to FinDefCalc: Opex calcDataCenter expenses</t>
  </si>
  <si>
    <t>Data Center Value</t>
  </si>
  <si>
    <t>obalOpsDataCenterValue</t>
  </si>
  <si>
    <t>To FinDefBSCloseProd2DefRev or cbal</t>
  </si>
  <si>
    <t>cbalProd1Seg1DefRev</t>
  </si>
  <si>
    <t>cbalProd1Seg2DefRev</t>
  </si>
  <si>
    <t>cbalProd1Seg3DefRev</t>
  </si>
  <si>
    <t>cbalProd2Seg1DefRev</t>
  </si>
  <si>
    <t>cbalProd2Seg2DefRev</t>
  </si>
  <si>
    <t>cbalOpsDataCenterValue</t>
  </si>
  <si>
    <t>Opening Value</t>
  </si>
  <si>
    <t>New Investment</t>
  </si>
  <si>
    <t>Total Value</t>
  </si>
  <si>
    <t>calcDataCenterValue</t>
  </si>
  <si>
    <t>Less: Depreciation</t>
  </si>
  <si>
    <t>decCommercialProd1Seg1Share</t>
  </si>
  <si>
    <t>decCommercialProd1Seg2Share</t>
  </si>
  <si>
    <t>decCommercialProd2Seg1Share</t>
  </si>
  <si>
    <t>decCommercialProd2Seg2Share</t>
  </si>
  <si>
    <t>decCommercialProd3Seg1Share</t>
  </si>
  <si>
    <t>decCommercialProd3Seg2Share</t>
  </si>
  <si>
    <t>decConsumerProd1Seg3Share</t>
  </si>
  <si>
    <t>decConsumerProd3Seg3Share</t>
  </si>
  <si>
    <t>Share</t>
  </si>
  <si>
    <t>Workspace 365</t>
  </si>
  <si>
    <t>Dynamo 365</t>
  </si>
  <si>
    <t>Ending Share</t>
  </si>
  <si>
    <t>Units</t>
  </si>
  <si>
    <t>dataProd3Seg1MarketUnits</t>
  </si>
  <si>
    <t>dataProd3Seg2MarketUnits</t>
  </si>
  <si>
    <t>dataProd3Seg3MarketUnits</t>
  </si>
  <si>
    <t>Total COGS P Unit</t>
  </si>
  <si>
    <t>Labor</t>
  </si>
  <si>
    <t>Materials</t>
  </si>
  <si>
    <t>Cost of Revenue - Per Unit</t>
  </si>
  <si>
    <t>Materials Expense - Total</t>
  </si>
  <si>
    <t>Total Materials Cost</t>
  </si>
  <si>
    <t>WIP Units Finished in Year</t>
  </si>
  <si>
    <t>Base Materials Cost per New Unit</t>
  </si>
  <si>
    <t>Units Produced in Year</t>
  </si>
  <si>
    <t>Cost of Revenue - Total</t>
  </si>
  <si>
    <t>New Units</t>
  </si>
  <si>
    <t>FinTrad Module - Calculations</t>
  </si>
  <si>
    <t>calcProd3Seg1EndingShare</t>
  </si>
  <si>
    <t>calcProd3Seg1NewUnits</t>
  </si>
  <si>
    <t>calcProd3Seg1Price</t>
  </si>
  <si>
    <t>calcProd3Seg1MatExp</t>
  </si>
  <si>
    <t>calcProd3Seg1LaborExp</t>
  </si>
  <si>
    <t>calcProd3Seg1COGSPUnit</t>
  </si>
  <si>
    <t>Prod3MatCOGSPNewUnit</t>
  </si>
  <si>
    <t>Prod3LaborCOGSPNewUnit</t>
  </si>
  <si>
    <t>Revenue Calculations</t>
  </si>
  <si>
    <t>calcProd3Seg1Revenue</t>
  </si>
  <si>
    <t>calcProd3Seg1TotalCOGS</t>
  </si>
  <si>
    <t>calcProd3Seg2EndingShare</t>
  </si>
  <si>
    <t>calcProd3Seg2NewUnits</t>
  </si>
  <si>
    <t>calcProd3Seg2Price</t>
  </si>
  <si>
    <t>calcProd3Seg2Revenue</t>
  </si>
  <si>
    <t>calcProd3Seg2MatExp</t>
  </si>
  <si>
    <t>calcProd3Seg2LaborExp</t>
  </si>
  <si>
    <t>calcProd3Seg2TotalCOGS</t>
  </si>
  <si>
    <t>calcProd3Seg2COGSPUnit</t>
  </si>
  <si>
    <t>calcProd3Seg3EndingShare</t>
  </si>
  <si>
    <t>calcProd3Seg3NewUnits</t>
  </si>
  <si>
    <t>calcProd3Seg3Price</t>
  </si>
  <si>
    <t>calcProd3Seg3Revenue</t>
  </si>
  <si>
    <t>calcProd3Seg3MatExp</t>
  </si>
  <si>
    <t>calcProd3Seg3LaborExp</t>
  </si>
  <si>
    <t>calcProd3Seg3TotalCOGS</t>
  </si>
  <si>
    <t>calcProd3Seg3COGSPUnit</t>
  </si>
  <si>
    <t>Services Revenue</t>
  </si>
  <si>
    <t>Services Attach Rates</t>
  </si>
  <si>
    <t>Service Contract Price</t>
  </si>
  <si>
    <t>dataServicePrice</t>
  </si>
  <si>
    <t>Marketing Expense</t>
  </si>
  <si>
    <t>Partner Group Salaries</t>
  </si>
  <si>
    <t>calcCommercialPartnerSalary</t>
  </si>
  <si>
    <t>PartnerSalary</t>
  </si>
  <si>
    <t>Partner Salary</t>
  </si>
  <si>
    <t>Partner Group Salary</t>
  </si>
  <si>
    <t>calcConsumerPartnerSalary</t>
  </si>
  <si>
    <t>Unallocated FTE Salary</t>
  </si>
  <si>
    <t>calcOpsUnallocatedSalary</t>
  </si>
  <si>
    <t>calcOpsTalentSalary</t>
  </si>
  <si>
    <t>Collab Development Salary</t>
  </si>
  <si>
    <t>calcOpsCollabSalary</t>
  </si>
  <si>
    <t>HireDismissExpense</t>
  </si>
  <si>
    <t>Hire/Dismiss Expense</t>
  </si>
  <si>
    <t>Customers</t>
  </si>
  <si>
    <t>paramSeg1SubsPCustomer</t>
  </si>
  <si>
    <t>paramSeg2SubsPCustomer</t>
  </si>
  <si>
    <t>cbalProd1Seg1NewCustomers</t>
  </si>
  <si>
    <t>cbalProd1Seg1RenewedCustomers</t>
  </si>
  <si>
    <t>cbalProd1Seg1TotalCustomers</t>
  </si>
  <si>
    <t>cbalProd1Seg2NewCustomers</t>
  </si>
  <si>
    <t>cbalProd1Seg2RenewedCustomers</t>
  </si>
  <si>
    <t>cbalProd1Seg2TotalCustomers</t>
  </si>
  <si>
    <t>cbalProd2Seg1NewCustomers</t>
  </si>
  <si>
    <t>cbalProd2Seg1RenewedCustomers</t>
  </si>
  <si>
    <t>cbalProd2Seg1TotalCustomers</t>
  </si>
  <si>
    <t>cbalProd2Seg2NewCustomers</t>
  </si>
  <si>
    <t>cbalProd2Seg2RenewedCustomers</t>
  </si>
  <si>
    <t>cbalProd2Seg2TotalCustomers</t>
  </si>
  <si>
    <t>Total Customers</t>
  </si>
  <si>
    <t>Premier Revenue</t>
  </si>
  <si>
    <t>Premier Price</t>
  </si>
  <si>
    <t>Services Renewal Rates</t>
  </si>
  <si>
    <t>obalProd1Seg1ServicesAttachRate</t>
  </si>
  <si>
    <t>obalProd2Seg1ServicesAttachRate</t>
  </si>
  <si>
    <t>obalProd1Seg2ServicesAttachRate</t>
  </si>
  <si>
    <t>obalProd2Seg2ServicesAttachRate</t>
  </si>
  <si>
    <t>obalProd1Seg1ServicesRenRate</t>
  </si>
  <si>
    <t>obalProd1Seg2ServicesRenRate</t>
  </si>
  <si>
    <t>obalProd2Seg1ServicesRenRate</t>
  </si>
  <si>
    <t>obalProd2Seg2ServicesRenRate</t>
  </si>
  <si>
    <t>Premier Cost of Revenue</t>
  </si>
  <si>
    <t>calcServicesProd1Seg1TotalRev</t>
  </si>
  <si>
    <t>Total COGS</t>
  </si>
  <si>
    <t>calcServicesProd1Seg2TotalRev</t>
  </si>
  <si>
    <t>calcServicesProd2Seg1TotalRev</t>
  </si>
  <si>
    <t>calcServicesProd2Seg2TotalRev</t>
  </si>
  <si>
    <t>calcServicesProd2Seg2TotalCOGS</t>
  </si>
  <si>
    <t>calcServicesProd2Seg1TotalCOGS</t>
  </si>
  <si>
    <t>calcServicesProd1Seg2TotalCOGS</t>
  </si>
  <si>
    <t>calcServicesProd1Seg1TotalCOGS</t>
  </si>
  <si>
    <t>Revenue By Product</t>
  </si>
  <si>
    <t>Gross Margin By Product</t>
  </si>
  <si>
    <t>Total Gross Margin</t>
  </si>
  <si>
    <t>Gross Profit By Product</t>
  </si>
  <si>
    <t>Summary Data by Product</t>
  </si>
  <si>
    <t>Summary Data by Customer</t>
  </si>
  <si>
    <t>Revenue By Customer</t>
  </si>
  <si>
    <t>Gross Profit By Customer</t>
  </si>
  <si>
    <t>Total Gross Profit</t>
  </si>
  <si>
    <t>Direct Sales</t>
  </si>
  <si>
    <t>tblMMProd2Drivers</t>
  </si>
  <si>
    <t>tblMMProd3Drivers</t>
  </si>
  <si>
    <t>Internal Readiness</t>
  </si>
  <si>
    <t>Non-Cloud</t>
  </si>
  <si>
    <t>obalProd1Seg1NonCloudSubs</t>
  </si>
  <si>
    <t>obalProd1Seg2NonCloudSubs</t>
  </si>
  <si>
    <t>obalProd1Seg1CloudAdoption</t>
  </si>
  <si>
    <t>obalProd1Seg2CloudAdoption</t>
  </si>
  <si>
    <t>obalProd1Seg3CloudAdoption</t>
  </si>
  <si>
    <t>obalProd1Seg3NonCloudSubs</t>
  </si>
  <si>
    <t>Cost of Revenue - Renewal (Cloud Customers)</t>
  </si>
  <si>
    <t>Cost of Revenue - Renewal (Non-Cloud Customers)</t>
  </si>
  <si>
    <t>Total Cloud Subscriptions</t>
  </si>
  <si>
    <t>Total Subscriptions</t>
  </si>
  <si>
    <t>Total Cloud Adoption</t>
  </si>
  <si>
    <t>obalCloudAdoption</t>
  </si>
  <si>
    <t>cbalProd1Seg1CloudAdoption</t>
  </si>
  <si>
    <t>cbalProd1Seg2CloudAdoption</t>
  </si>
  <si>
    <t>cbalProd1Seg3CloudAdoption</t>
  </si>
  <si>
    <t>cbalCloudAdoption</t>
  </si>
  <si>
    <t>Prod1COGSPNonCloudUnit</t>
  </si>
  <si>
    <t>Consumption</t>
  </si>
  <si>
    <t>obalProd1Seg1Consumption</t>
  </si>
  <si>
    <t>obalProd1Seg2Consumption</t>
  </si>
  <si>
    <t>obalProd1Seg3Consumption</t>
  </si>
  <si>
    <t>obalProd2Seg1Consumption</t>
  </si>
  <si>
    <t>obalProd2Seg2Consumption</t>
  </si>
  <si>
    <t>Opening Consumption Rate</t>
  </si>
  <si>
    <t>Ending Consumption Rate</t>
  </si>
  <si>
    <t>Inside Sales</t>
  </si>
  <si>
    <t>cbalProd1Seg1ServicesAttachRate</t>
  </si>
  <si>
    <t>cbalProd1Seg2ServicesAttachRate</t>
  </si>
  <si>
    <t>cbalProd2Seg1ServicesAttachRate</t>
  </si>
  <si>
    <t>cbalProd2Seg2ServicesAttachRate</t>
  </si>
  <si>
    <t>cbalProd1Seg1ServicesRenRate</t>
  </si>
  <si>
    <t>cbalProd1Seg2ServicesRenRate</t>
  </si>
  <si>
    <t>cbalProd2Seg1ServicesRenRate</t>
  </si>
  <si>
    <t>cbalProd2Seg2ServicesRenRate</t>
  </si>
  <si>
    <t>calcProd1Seg1Consumption</t>
  </si>
  <si>
    <t>calcProd1Seg2Consumption</t>
  </si>
  <si>
    <t>calcProd2Seg1Consumption</t>
  </si>
  <si>
    <t>calcProd2Seg2Consumption</t>
  </si>
  <si>
    <t>Customer Success</t>
  </si>
  <si>
    <t>Total Ending Consumption</t>
  </si>
  <si>
    <t>Weightings</t>
  </si>
  <si>
    <t>Average Consumption</t>
  </si>
  <si>
    <t>calcAvgConsumption</t>
  </si>
  <si>
    <t>cbalProd1Seg1Consumption</t>
  </si>
  <si>
    <t>cbalProd1Seg2Consumption</t>
  </si>
  <si>
    <t>cbalProd1Seg3Consumption</t>
  </si>
  <si>
    <t>cbalProd2Seg1Consumption</t>
  </si>
  <si>
    <t>cbalProd2Seg2Consumption</t>
  </si>
  <si>
    <t>obalAvgConsumption</t>
  </si>
  <si>
    <t>cbalAvgConsumption</t>
  </si>
  <si>
    <t>Op. Margin</t>
  </si>
  <si>
    <t>EE</t>
  </si>
  <si>
    <t>obalCustSuccessRev</t>
  </si>
  <si>
    <t>obalCustSuccessOpMargin</t>
  </si>
  <si>
    <t>obalCustSuccessCSAT</t>
  </si>
  <si>
    <t>obalCustSuccessEE</t>
  </si>
  <si>
    <t>obalCustSuccess</t>
  </si>
  <si>
    <t>calcCustSuccessRev</t>
  </si>
  <si>
    <t>Ending Cust Success Revenue</t>
  </si>
  <si>
    <t>Operating Margin</t>
  </si>
  <si>
    <t>Ending Cust Success Operating Margin</t>
  </si>
  <si>
    <t>Opening Cust Success Revenue</t>
  </si>
  <si>
    <t>Opening Cust Success Operating Margin</t>
  </si>
  <si>
    <t>calcCustSuccessOpMargin</t>
  </si>
  <si>
    <t>calcCustSuccessCSAT</t>
  </si>
  <si>
    <t>Opening Cust Success CSAT</t>
  </si>
  <si>
    <t>Ending Cust Success CSAT</t>
  </si>
  <si>
    <t>Opening Cust Success EE</t>
  </si>
  <si>
    <t>Ending Cust Success EE</t>
  </si>
  <si>
    <t>calcCustSuccessEE</t>
  </si>
  <si>
    <t>Average Customer Success</t>
  </si>
  <si>
    <t>calcCustSuccess</t>
  </si>
  <si>
    <t>cbalCustSuccessRev</t>
  </si>
  <si>
    <t>cbalCustSuccessOpMargin</t>
  </si>
  <si>
    <t>cbalCustSuccessCSAT</t>
  </si>
  <si>
    <t>cbalCustSuccessEE</t>
  </si>
  <si>
    <t>cbalCustSuccess</t>
  </si>
  <si>
    <t>Average RenRate</t>
  </si>
  <si>
    <t>calcAvgRenRate</t>
  </si>
  <si>
    <t>Total Ending Renewal Rate</t>
  </si>
  <si>
    <t>obalProd1Seg1RenRate</t>
  </si>
  <si>
    <t>obalProd1Seg2RenRate</t>
  </si>
  <si>
    <t>obalProd1Seg3RenRate</t>
  </si>
  <si>
    <t>obalProd2Seg1RenRate</t>
  </si>
  <si>
    <t>obalProd2Seg2RenRate</t>
  </si>
  <si>
    <t>obalAvgRenRate</t>
  </si>
  <si>
    <t>cbalProd1Seg1RenRate</t>
  </si>
  <si>
    <t>cbalProd1Seg2RenRate</t>
  </si>
  <si>
    <t>cbalProd1Seg3RenRate</t>
  </si>
  <si>
    <t>cbalProd2Seg1RenRate</t>
  </si>
  <si>
    <t>cbalProd2Seg2RenRate</t>
  </si>
  <si>
    <t>cbalAvgRenRate</t>
  </si>
  <si>
    <t>Average Renewal Rate</t>
  </si>
  <si>
    <t>Avg. Churn</t>
  </si>
  <si>
    <t>Ending Collaboration</t>
  </si>
  <si>
    <t>Total FTEs</t>
  </si>
  <si>
    <t>calcTotalCollabFTEs</t>
  </si>
  <si>
    <t>% of Total FTEs</t>
  </si>
  <si>
    <t>calcCollabKicker</t>
  </si>
  <si>
    <t>calcCollab</t>
  </si>
  <si>
    <t>cbalCollab</t>
  </si>
  <si>
    <t>obalCollab</t>
  </si>
  <si>
    <t>Opening Internal Readiness</t>
  </si>
  <si>
    <t>obalInternalReadiness</t>
  </si>
  <si>
    <t>calcInternalReadiness</t>
  </si>
  <si>
    <t>WACC</t>
  </si>
  <si>
    <t>Cost of Capital</t>
  </si>
  <si>
    <t>Customer Lifetime</t>
  </si>
  <si>
    <t>Cloud Revenue</t>
  </si>
  <si>
    <t>EGPlatformCOGSPLevel</t>
  </si>
  <si>
    <t>EG Platform COGS Per Level</t>
  </si>
  <si>
    <t>EGOfferingCOGSPLevel</t>
  </si>
  <si>
    <t>EG Offering COGS Per Level</t>
  </si>
  <si>
    <t>Security Investments</t>
  </si>
  <si>
    <t>Interoperability Investments</t>
  </si>
  <si>
    <t>Scalability Investments</t>
  </si>
  <si>
    <t>Ending COR Per Unit</t>
  </si>
  <si>
    <t>Opening COR Per Unit</t>
  </si>
  <si>
    <t>obalProd1BaseNewCOGS</t>
  </si>
  <si>
    <t>obalProd1BaseRenewalCOGS</t>
  </si>
  <si>
    <t>obalProd2BaseNewCOGS</t>
  </si>
  <si>
    <t>obalProd2BaseRenewalCOGS</t>
  </si>
  <si>
    <t>obalProd3BaseLaborCOGS</t>
  </si>
  <si>
    <t>obalProd3BaseMatCOGS</t>
  </si>
  <si>
    <t>Total Non-Cloud COR</t>
  </si>
  <si>
    <t>calcProd3Seg2BaseMatExp</t>
  </si>
  <si>
    <t>calcProd3Seg3BaseMatExp</t>
  </si>
  <si>
    <t>Materials COGS</t>
  </si>
  <si>
    <t>Labor COGS</t>
  </si>
  <si>
    <t>Collaboration Kicker</t>
  </si>
  <si>
    <t>Premier Services FTEs</t>
  </si>
  <si>
    <t>calcCommercialServicesPremierFTEs</t>
  </si>
  <si>
    <t>Premier Services Salary</t>
  </si>
  <si>
    <t>calcCommercialServicesPremierSalary</t>
  </si>
  <si>
    <t>Premier FTEs</t>
  </si>
  <si>
    <t>Cloud Maintenance Costs</t>
  </si>
  <si>
    <t>1 + WACC</t>
  </si>
  <si>
    <t>Acquisition Costs</t>
  </si>
  <si>
    <t>calcProd1Seg1Pct</t>
  </si>
  <si>
    <t>calcProd1Seg2Pct</t>
  </si>
  <si>
    <t>calcProd1Seg3Pct</t>
  </si>
  <si>
    <t>calcProd2Seg1Pct</t>
  </si>
  <si>
    <t>calcProd2Seg2Pct</t>
  </si>
  <si>
    <t>Cost to Serve</t>
  </si>
  <si>
    <t>Marketing Costs</t>
  </si>
  <si>
    <t>Total Acquisition Costs</t>
  </si>
  <si>
    <t>Prod3Lifetime</t>
  </si>
  <si>
    <t>Prod1NonCloudLifetime</t>
  </si>
  <si>
    <t>Cloud Revenue % of Total Revenue</t>
  </si>
  <si>
    <t>Non-Cloud Revenue % of Total Revenue</t>
  </si>
  <si>
    <t>Customer Lifetime - Cloud</t>
  </si>
  <si>
    <t>calcProd1Seg1CloudCustLifetime</t>
  </si>
  <si>
    <t>Customer Lifetime - NonCloud</t>
  </si>
  <si>
    <t>calcProd1Seg1NonCloudCustLifetime</t>
  </si>
  <si>
    <t>Cost to Serve - Cloud</t>
  </si>
  <si>
    <t>calcProd1Seg1CloudCostToServe</t>
  </si>
  <si>
    <t>calcProd1Seg1NonCloudCostToServe</t>
  </si>
  <si>
    <t>Non-Cloud Revenue</t>
  </si>
  <si>
    <t>Non-Cloud Maintenance Costs</t>
  </si>
  <si>
    <t>Cost to Serve - Non-Cloud</t>
  </si>
  <si>
    <t>calcProd1Seg1CostToAcquire</t>
  </si>
  <si>
    <t>Total CLV</t>
  </si>
  <si>
    <t>Customer Lifetime Value</t>
  </si>
  <si>
    <t>calcProd1Seg1CloudCLV</t>
  </si>
  <si>
    <t>calcProd1Seg1NonCloudCLV</t>
  </si>
  <si>
    <t>calcProd1Seg1TotalCLV</t>
  </si>
  <si>
    <t>calcProd1Seg2CloudCustLifetime</t>
  </si>
  <si>
    <t>calcProd1Seg2NonCloudCustLifetime</t>
  </si>
  <si>
    <t>calcProd1Seg2CloudCostToServe</t>
  </si>
  <si>
    <t>calcProd1Seg2NonCloudCostToServe</t>
  </si>
  <si>
    <t>calcProd1Seg2CostToAcquire</t>
  </si>
  <si>
    <t>calcProd1Seg2CloudCLV</t>
  </si>
  <si>
    <t>calcProd1Seg2NonCloudCLV</t>
  </si>
  <si>
    <t>calcProd1Seg2TotalCLV</t>
  </si>
  <si>
    <t>% for Cost Allocations</t>
  </si>
  <si>
    <t>calcProd1Seg3CloudCustLifetime</t>
  </si>
  <si>
    <t>calcProd1Seg3NonCloudCustLifetime</t>
  </si>
  <si>
    <t>calcProd1Seg3CloudCostToServe</t>
  </si>
  <si>
    <t>calcProd1Seg3NonCloudCostToServe</t>
  </si>
  <si>
    <t>calcProd1Seg3CostToAcquire</t>
  </si>
  <si>
    <t>calcProd1Seg3CloudCLV</t>
  </si>
  <si>
    <t>calcProd1Seg3NonCloudCLV</t>
  </si>
  <si>
    <t>calcProd1Seg3TotalCLV</t>
  </si>
  <si>
    <t>calcProd2Seg1CloudCustLifetime</t>
  </si>
  <si>
    <t>calcProd2Seg1CloudCostToServe</t>
  </si>
  <si>
    <t>calcProd2Seg1CostToAcquire</t>
  </si>
  <si>
    <t>calcProd2Seg1TotalCLV</t>
  </si>
  <si>
    <t>calcProd2Seg2CloudCustLifetime</t>
  </si>
  <si>
    <t>calcProd2Seg2CloudCostToServe</t>
  </si>
  <si>
    <t>calcProd2Seg2CostToAcquire</t>
  </si>
  <si>
    <t>calcProd2Seg2TotalCLV</t>
  </si>
  <si>
    <t>calcProd3Seg1CloudCustLifetime</t>
  </si>
  <si>
    <t>calcProd3Seg1CloudCostToServe</t>
  </si>
  <si>
    <t>calcProd3Seg1CostToAcquire</t>
  </si>
  <si>
    <t>calcProd3Seg1TotalCLV</t>
  </si>
  <si>
    <t>calcProd3Seg2CloudCustLifetime</t>
  </si>
  <si>
    <t>calcProd3Seg2CloudCostToServe</t>
  </si>
  <si>
    <t>calcProd3Seg2CostToAcquire</t>
  </si>
  <si>
    <t>calcProd3Seg2TotalCLV</t>
  </si>
  <si>
    <t>calcProd3Seg3CloudCustLifetime</t>
  </si>
  <si>
    <t>calcProd3Seg3CloudCostToServe</t>
  </si>
  <si>
    <t>calcProd3Seg3CostToAcquire</t>
  </si>
  <si>
    <t>calcProd3Seg3TotalCLV</t>
  </si>
  <si>
    <t>calcProd1TotalCLV</t>
  </si>
  <si>
    <t>calcProd2TotalCLV</t>
  </si>
  <si>
    <t>calcProd3TotalCLV</t>
  </si>
  <si>
    <t>calcTotalCLV</t>
  </si>
  <si>
    <t>CLV By Ambition</t>
  </si>
  <si>
    <t>CLV By Customer</t>
  </si>
  <si>
    <t>calcSeg1TotalCLV</t>
  </si>
  <si>
    <t>calcSeg2TotalCLV</t>
  </si>
  <si>
    <t>calcSeg3TotalCLV</t>
  </si>
  <si>
    <t>finPNLProd1Seg1NewBookings</t>
  </si>
  <si>
    <t>finPNLProd1Seg1RenewalBookings</t>
  </si>
  <si>
    <t>finPNLProd1Seg1TotalBookings</t>
  </si>
  <si>
    <t>finPNLProd1Seg1NewRev</t>
  </si>
  <si>
    <t>finPNLProd1Seg1RenewalRev</t>
  </si>
  <si>
    <t>finPNLProd1Seg1NonCloudRev</t>
  </si>
  <si>
    <t>finPNLProd1Seg1ServicesRev</t>
  </si>
  <si>
    <t>finPNLProd1Seg1RevFromDef</t>
  </si>
  <si>
    <t>finPNLProd1Seg1TotalRev</t>
  </si>
  <si>
    <t>finPNLProd1Seg1NewCOGS</t>
  </si>
  <si>
    <t>finPNLProd1Seg1RenewalCOGS</t>
  </si>
  <si>
    <t>finPNLProd1Seg1NonCloudCOGS</t>
  </si>
  <si>
    <t>finPNLProd1Seg1ServicesCOGS</t>
  </si>
  <si>
    <t>finPNLProd1Seg1TotalCOGs</t>
  </si>
  <si>
    <t>finPNLProd1Seg1GrossProfit</t>
  </si>
  <si>
    <t>finPNLProd1Seg1GrossMargin</t>
  </si>
  <si>
    <t>finPNLProd1Seg2NewBookings</t>
  </si>
  <si>
    <t>finPNLProd1Seg2RenewalBookings</t>
  </si>
  <si>
    <t>finPNLProd1Seg2TotalBookings</t>
  </si>
  <si>
    <t>finPNLProd1Seg2NewRev</t>
  </si>
  <si>
    <t>finPNLProd1Seg2RenewalRev</t>
  </si>
  <si>
    <t>finPNLProd1Seg2NonCloudRev</t>
  </si>
  <si>
    <t>finPNLProd1Seg2ServicesRev</t>
  </si>
  <si>
    <t>finPNLProd1Seg2RevFromDef</t>
  </si>
  <si>
    <t>finPNLProd1Seg2TotalRev</t>
  </si>
  <si>
    <t>finPNLProd1Seg2NewCOGS</t>
  </si>
  <si>
    <t>finPNLProd1Seg2RenewalCOGS</t>
  </si>
  <si>
    <t>finPNLProd1Seg2NonCloudCOGS</t>
  </si>
  <si>
    <t>finPNLProd1Seg2ServicesCOGS</t>
  </si>
  <si>
    <t>finPNLProd1Seg2TotalCOGs</t>
  </si>
  <si>
    <t>finPNLProd1Seg2GrossProfit</t>
  </si>
  <si>
    <t>finPNLProd1Seg2GrossMargin</t>
  </si>
  <si>
    <t>finPNLProd1Seg3NewBookings</t>
  </si>
  <si>
    <t>finPNLProd1Seg3RenewalBookings</t>
  </si>
  <si>
    <t>finPNLProd1Seg3TotalBookings</t>
  </si>
  <si>
    <t>finPNLProd1Seg3NewRev</t>
  </si>
  <si>
    <t>finPNLProd1Seg3RenewalRev</t>
  </si>
  <si>
    <t>finPNLProd1Seg3NonCloudRev</t>
  </si>
  <si>
    <t>finPNLProd1Seg3RevFromDef</t>
  </si>
  <si>
    <t>finPNLProd1Seg3TotalRev</t>
  </si>
  <si>
    <t>finPNLProd1Seg3NewCOGS</t>
  </si>
  <si>
    <t>finPNLProd1Seg3NonCloudCOGS</t>
  </si>
  <si>
    <t>finPNLProd1Seg3RenewalCOGS</t>
  </si>
  <si>
    <t>finPNLProd1Seg3TotalCOGs</t>
  </si>
  <si>
    <t>finPNLProd1Seg3GrossProfit</t>
  </si>
  <si>
    <t>finPNLProd1Seg3GrossMargin</t>
  </si>
  <si>
    <t>finPNLProd2Seg1NewBookings</t>
  </si>
  <si>
    <t>finPNLProd2Seg1RenewalBookings</t>
  </si>
  <si>
    <t>finPNLProd2Seg1TotalBookings</t>
  </si>
  <si>
    <t>finPNLProd2Seg1NewRev</t>
  </si>
  <si>
    <t>finPNLProd2Seg1RenewalRev</t>
  </si>
  <si>
    <t>finPNLProd2Seg1ServicesRev</t>
  </si>
  <si>
    <t>finPNLProd2Seg1RevFromDef</t>
  </si>
  <si>
    <t>finPNLProd2Seg1TotalRev</t>
  </si>
  <si>
    <t>finPNLProd2Seg1NewCOGS</t>
  </si>
  <si>
    <t>finPNLProd2Seg1RenewalCOGS</t>
  </si>
  <si>
    <t>finPNLProd2Seg1ServicesCOGS</t>
  </si>
  <si>
    <t>finPNLProd2Seg1TotalCOGs</t>
  </si>
  <si>
    <t>finPNLProd2Seg1GrossProfit</t>
  </si>
  <si>
    <t>finPNLProd2Seg1GrossMargin</t>
  </si>
  <si>
    <t>finPNLProd2Seg2NewBookings</t>
  </si>
  <si>
    <t>finPNLProd2Seg2RenewalBookings</t>
  </si>
  <si>
    <t>finPNLProd2Seg2TotalBookings</t>
  </si>
  <si>
    <t>finPNLProd2Seg2NewRev</t>
  </si>
  <si>
    <t>finPNLProd2Seg2RenewalRev</t>
  </si>
  <si>
    <t>finPNLProd2Seg2ServicesRev</t>
  </si>
  <si>
    <t>finPNLProd2Seg2RevFromDef</t>
  </si>
  <si>
    <t>finPNLProd2Seg2TotalRev</t>
  </si>
  <si>
    <t>finPNLProd2Seg2NewCOGS</t>
  </si>
  <si>
    <t>finPNLProd2Seg2RenewalCOGS</t>
  </si>
  <si>
    <t>finPNLProd2Seg2ServicesCOGS</t>
  </si>
  <si>
    <t>finPNLProd2Seg2TotalCOGs</t>
  </si>
  <si>
    <t>finPNLProd2Seg2GrossProfit</t>
  </si>
  <si>
    <t>finPNLProd2Seg2GrossMargin</t>
  </si>
  <si>
    <t>finPNLProd3Seg1TotalRev</t>
  </si>
  <si>
    <t>finPNLProd3Seg1MatCOGS</t>
  </si>
  <si>
    <t>finPNLProd3Seg1LaborCOGS</t>
  </si>
  <si>
    <t>finPNLProd3Seg1TotalCOGs</t>
  </si>
  <si>
    <t>finPNLProd3Seg1GrossProfit</t>
  </si>
  <si>
    <t>finPNLProd3Seg1GrossMargin</t>
  </si>
  <si>
    <t>finPNLProd3Seg2TotalRev</t>
  </si>
  <si>
    <t>finPNLProd3Seg2MatCOGS</t>
  </si>
  <si>
    <t>finPNLProd3Seg2LaborCOGS</t>
  </si>
  <si>
    <t>finPNLProd3Seg2TotalCOGs</t>
  </si>
  <si>
    <t>finPNLProd3Seg2GrossProfit</t>
  </si>
  <si>
    <t>finPNLProd3Seg2GrossMargin</t>
  </si>
  <si>
    <t>finPNLProd3Seg3TotalRev</t>
  </si>
  <si>
    <t>finPNLProd3Seg3MatCOGS</t>
  </si>
  <si>
    <t>finPNLProd3Seg3LaborCOGS</t>
  </si>
  <si>
    <t>finPNLProd3Seg3TotalCOGs</t>
  </si>
  <si>
    <t>finPNLProd3Seg3GrossProfit</t>
  </si>
  <si>
    <t>finPNLProd3Seg3GrossMargin</t>
  </si>
  <si>
    <t>finPNLTotalBookings</t>
  </si>
  <si>
    <t>finPNLTotalRev</t>
  </si>
  <si>
    <t>finPNLTotalCOGS</t>
  </si>
  <si>
    <t>finPNLTotalGrossProfit</t>
  </si>
  <si>
    <t>finPNLTotalGrossMargin</t>
  </si>
  <si>
    <t>finPNLDirectSalesSalaryExp</t>
  </si>
  <si>
    <t>finPNLInsideSalesSalaryExp</t>
  </si>
  <si>
    <t>finPNLServicesSalaryExp</t>
  </si>
  <si>
    <t>finPNLPartnerSalaryExp</t>
  </si>
  <si>
    <t>finPNLTotalMSExp</t>
  </si>
  <si>
    <t>finPNLTotalMSExpPerc</t>
  </si>
  <si>
    <t>finPNLTotalGAExp</t>
  </si>
  <si>
    <t>finPNLTotalGAExpPerc</t>
  </si>
  <si>
    <t>finPNLTotalOpex</t>
  </si>
  <si>
    <t>finPNLTotalOpsProfit</t>
  </si>
  <si>
    <t>finPNLTotalOpsMargin</t>
  </si>
  <si>
    <t>finPNLTotalProd1Rev</t>
  </si>
  <si>
    <t>finPNLTotalProd2Rev</t>
  </si>
  <si>
    <t>finPNLTotalProd3Rev</t>
  </si>
  <si>
    <t>finPNLTotalProd1GrossProfit</t>
  </si>
  <si>
    <t>finPNLTotalProd2GrossProfit</t>
  </si>
  <si>
    <t>finPNLTotalProd3GrossProfit</t>
  </si>
  <si>
    <t>finPNLTotalProd1GrossMargin</t>
  </si>
  <si>
    <t>finPNLTotalProd2GrossMargin</t>
  </si>
  <si>
    <t>finPNLTotalProd3GrossMargin</t>
  </si>
  <si>
    <t>finPNLTotalSeg1Rev</t>
  </si>
  <si>
    <t>finPNLTotalSeg2Rev</t>
  </si>
  <si>
    <t>finPNLTotalSeg3Rev</t>
  </si>
  <si>
    <t>finPNLTotalSeg1GrossProfit</t>
  </si>
  <si>
    <t>finPNLTotalSeg2GrossProfit</t>
  </si>
  <si>
    <t>finPNLTotalSeg3GrossProfit</t>
  </si>
  <si>
    <t>finPNLTotalSeg1GrossMargin</t>
  </si>
  <si>
    <t>finPNLTotalSeg2GrossMargin</t>
  </si>
  <si>
    <t>finPNLTotalSeg3GrossMargin</t>
  </si>
  <si>
    <t>CalcProd1Seg1NewVolume</t>
  </si>
  <si>
    <t>CalcProd1Seg1RenewalVolume</t>
  </si>
  <si>
    <t>CalcProd1Seg1NonCloudVolume</t>
  </si>
  <si>
    <t>CalcProd1Seg1TotalVolume</t>
  </si>
  <si>
    <t>CalcProd1Seg1CloudAdoption</t>
  </si>
  <si>
    <t>CalcProd1Seg1NewCustomers</t>
  </si>
  <si>
    <t>CalcProd1Seg1RenewalCustomers</t>
  </si>
  <si>
    <t>CalcProd1Seg1TotalCustomers</t>
  </si>
  <si>
    <t>CalcProd1Seg1Price</t>
  </si>
  <si>
    <t>CalcProd1Seg1BaseCOGSPNewUnit</t>
  </si>
  <si>
    <t>CalcProd1Seg1Prod1NewCOGSUnit</t>
  </si>
  <si>
    <t>CalcProd1Seg1NewCOGS</t>
  </si>
  <si>
    <t>CalcProd1Seg1BaseCOGSPRenewalUnit</t>
  </si>
  <si>
    <t>CalcProd1Seg1CloudRenewalCOGSUnit</t>
  </si>
  <si>
    <t>CalcProd1Seg1RenewalCOGS</t>
  </si>
  <si>
    <t>CalcProd1Seg1NonCloudRenewalCOGSUnit</t>
  </si>
  <si>
    <t>CalcProd1Seg1NonCloudCOGS</t>
  </si>
  <si>
    <t>CalcProd1Seg1DefRev</t>
  </si>
  <si>
    <t>CalcProd1Seg2NewVolume</t>
  </si>
  <si>
    <t>CalcProd1Seg2RenewalVolume</t>
  </si>
  <si>
    <t>CalcProd1Seg2NonCloudVolume</t>
  </si>
  <si>
    <t>CalcProd1Seg2TotalVolume</t>
  </si>
  <si>
    <t>CalcProd1Seg2CloudAdoption</t>
  </si>
  <si>
    <t>CalcProd1Seg2NewCustomers</t>
  </si>
  <si>
    <t>CalcProd1Seg2RenewalCustomers</t>
  </si>
  <si>
    <t>CalcProd1Seg2TotalCustomers</t>
  </si>
  <si>
    <t>CalcProd1Seg2Price</t>
  </si>
  <si>
    <t>CalcProd1Seg2BaseCOGSPNewUnit</t>
  </si>
  <si>
    <t>CalcProd1Seg2Prod1NewCOGSUnit</t>
  </si>
  <si>
    <t>CalcProd1Seg2NewCOGS</t>
  </si>
  <si>
    <t>CalcProd1Seg2BaseCOGSPRenewalUnit</t>
  </si>
  <si>
    <t>CalcProd1Seg2CloudRenewalCOGSUnit</t>
  </si>
  <si>
    <t>CalcProd1Seg2RenewalCOGS</t>
  </si>
  <si>
    <t>CalcProd1Seg2NonCloudRenewalCOGSUnit</t>
  </si>
  <si>
    <t>CalcProd1Seg2NonCloudCOGS</t>
  </si>
  <si>
    <t>CalcProd1Seg2DefRev</t>
  </si>
  <si>
    <t>CalcProd1Seg3NewVolume</t>
  </si>
  <si>
    <t>CalcProd1Seg3RenewalVolume</t>
  </si>
  <si>
    <t>CalcProd1Seg3NonCloudVolume</t>
  </si>
  <si>
    <t>CalcProd1Seg3TotalVolume</t>
  </si>
  <si>
    <t>CalcProd1Seg3CloudAdoption</t>
  </si>
  <si>
    <t>CalcProd1Seg3Price</t>
  </si>
  <si>
    <t>CalcProd1Seg3BaseCOGSPNewUnit</t>
  </si>
  <si>
    <t>CalcProd1Seg3Prod1NewCOGSUnit</t>
  </si>
  <si>
    <t>CalcProd1Seg3NewCOGS</t>
  </si>
  <si>
    <t>CalcProd1Seg3BaseCOGSPRenewalUnit</t>
  </si>
  <si>
    <t>CalcProd1Seg3CloudRenewalCOGSUnit</t>
  </si>
  <si>
    <t>CalcProd1Seg3RenewalCOGS</t>
  </si>
  <si>
    <t>CalcProd1Seg3NonCloudRenewalCOGSUnit</t>
  </si>
  <si>
    <t>CalcProd1Seg3NonCloudCOGS</t>
  </si>
  <si>
    <t>CalcProd1Seg3DefRev</t>
  </si>
  <si>
    <t>CalcProd2Seg1NewVolume</t>
  </si>
  <si>
    <t>CalcProd2Seg1RenewalVolume</t>
  </si>
  <si>
    <t>CalcProd2Seg1TotalVolume</t>
  </si>
  <si>
    <t>CalcProd2Seg1NewCustomers</t>
  </si>
  <si>
    <t>CalcProd2Seg1RenewalCustomers</t>
  </si>
  <si>
    <t>CalcProd2Seg1TotalCustomers</t>
  </si>
  <si>
    <t>CalcProd2Seg1Price</t>
  </si>
  <si>
    <t>CalcProd2Seg1BaseCOGSPNewUnit</t>
  </si>
  <si>
    <t>CalcProd2Seg1Prod2NewCOGSUnit</t>
  </si>
  <si>
    <t>CalcProd2Seg1NewCOGS</t>
  </si>
  <si>
    <t>CalcProd2Seg1BaseCOGSPRenewalUnit</t>
  </si>
  <si>
    <t>CalcProd2Seg1RenewalCOGSUnit</t>
  </si>
  <si>
    <t>CalcProd2Seg1RenewalCOGS</t>
  </si>
  <si>
    <t>CalcProd2Seg1DefRev</t>
  </si>
  <si>
    <t>CalcProd2Seg2NewVolume</t>
  </si>
  <si>
    <t>CalcProd2Seg2RenewalVolume</t>
  </si>
  <si>
    <t>CalcProd2Seg2TotalVolume</t>
  </si>
  <si>
    <t>CalcProd2Seg2NewCustomers</t>
  </si>
  <si>
    <t>CalcProd2Seg2RenewalCustomers</t>
  </si>
  <si>
    <t>CalcProd2Seg2TotalCustomers</t>
  </si>
  <si>
    <t>CalcProd2Seg2Price</t>
  </si>
  <si>
    <t>CalcProd2Seg2BaseCOGSPNewUnit</t>
  </si>
  <si>
    <t>CalcProd2Seg2Prod2NewCOGSUnit</t>
  </si>
  <si>
    <t>CalcProd2Seg2NewCOGS</t>
  </si>
  <si>
    <t>CalcProd2Seg2BaseCOGSPRenewalUnit</t>
  </si>
  <si>
    <t>CalcProd2Seg2RenewalCOGSUnit</t>
  </si>
  <si>
    <t>CalcProd2Seg2RenewalCOGS</t>
  </si>
  <si>
    <t>CalcProd2Seg2DefRev</t>
  </si>
  <si>
    <t>CalcTotalDCExp</t>
  </si>
  <si>
    <t>CalcProd1Seg1DCExpNew</t>
  </si>
  <si>
    <t>CalcProd1Seg1DCExpRenewal</t>
  </si>
  <si>
    <t>CalcProd1Seg2DCExpNew</t>
  </si>
  <si>
    <t>CalcProd1Seg2DCExpRenewal</t>
  </si>
  <si>
    <t>CalcProd1Seg3DCExpNew</t>
  </si>
  <si>
    <t>CalcProd1Seg3DCExpRenewal</t>
  </si>
  <si>
    <t>CalcProd2Seg1DCExpNew</t>
  </si>
  <si>
    <t>CalcProd2Seg1DCExpRenewal</t>
  </si>
  <si>
    <t>CalcProd2Seg2DCExpNew</t>
  </si>
  <si>
    <t>CalcProd2Seg2DCExpRenewal</t>
  </si>
  <si>
    <t>CalcTotalCloudSubs</t>
  </si>
  <si>
    <t>CalcTotalSubs</t>
  </si>
  <si>
    <t>CalcCloudAdoption</t>
  </si>
  <si>
    <t>cbalProd1BaseNewCOGS</t>
  </si>
  <si>
    <t>cbalProd1BaseRenewalCOGS</t>
  </si>
  <si>
    <t>cbalProd2BaseNewCOGS</t>
  </si>
  <si>
    <t>cbalProd2BaseRenewalCOGS</t>
  </si>
  <si>
    <t>cbalProd3BaseMatCOGS</t>
  </si>
  <si>
    <t>cbalProd3BaseLaborCOGS</t>
  </si>
  <si>
    <t>cbalProd1Seg1NonCloudSubs</t>
  </si>
  <si>
    <t>cbalProd1Seg2NonCloudSubs</t>
  </si>
  <si>
    <t>cbalProd1Seg3NonCloudSubs</t>
  </si>
  <si>
    <t>cbalProd1TotalCLV</t>
  </si>
  <si>
    <t>cbalProd2TotalCLV</t>
  </si>
  <si>
    <t>cbalProd3TotalCLV</t>
  </si>
  <si>
    <t>cbalTotalCLV</t>
  </si>
  <si>
    <t>obalProd1TotalCLV</t>
  </si>
  <si>
    <t>obalProd2TotalCLV</t>
  </si>
  <si>
    <t>obalProd3TotalCLV</t>
  </si>
  <si>
    <t>obalTotalCLV</t>
  </si>
  <si>
    <t>finPNLTotalRevGrowth</t>
  </si>
  <si>
    <t>obalTotalRev</t>
  </si>
  <si>
    <t>obalTotalRevGrowth</t>
  </si>
  <si>
    <t>cbalTotalRev</t>
  </si>
  <si>
    <t>cbalTotalRevGrowth</t>
  </si>
  <si>
    <t>obalOpsDataCenterUtilization</t>
  </si>
  <si>
    <t>cbalOpsDataCenterUtilization</t>
  </si>
  <si>
    <t>obalTotalCloudSubs</t>
  </si>
  <si>
    <t>cbalTotalCloudSubs</t>
  </si>
  <si>
    <t>calcProd1Seg1MarketingExp</t>
  </si>
  <si>
    <t>calcProd1Seg1DirectSalesSalaryExp</t>
  </si>
  <si>
    <t>calcProd1Seg1PartnerSalaryExp</t>
  </si>
  <si>
    <t>calcProd1Seg2MarketingExp</t>
  </si>
  <si>
    <t>calcProd1Seg2DirectSalesSalaryExp</t>
  </si>
  <si>
    <t>calcProd1Seg2PartnerSalaryExp</t>
  </si>
  <si>
    <t>calcProd1Seg3MarketingExp</t>
  </si>
  <si>
    <t>calcProd1Seg3DirectSalesSalaryExp</t>
  </si>
  <si>
    <t>calcProd1Seg3PartnerSalaryExp</t>
  </si>
  <si>
    <t>calcProd2Seg2MarketingExp</t>
  </si>
  <si>
    <t>calcProd2Seg2DirectSalesSalaryExp</t>
  </si>
  <si>
    <t>calcProd2Seg2PartnerSalaryExp</t>
  </si>
  <si>
    <t>calcProd2Seg1MarketingExp</t>
  </si>
  <si>
    <t>calcProd2Seg1DirectSalesSalaryExp</t>
  </si>
  <si>
    <t>calcProd2Seg1PartnerSalaryExp</t>
  </si>
  <si>
    <t>calcProd3Seg1MarketingExp</t>
  </si>
  <si>
    <t>calcProd3Seg1DirectSalesSalaryExp</t>
  </si>
  <si>
    <t>calcProd3Seg1PartnerSalaryExp</t>
  </si>
  <si>
    <t>calcProd3Seg2MarketingExp</t>
  </si>
  <si>
    <t>calcProd3Seg2DirectSalesSalaryExp</t>
  </si>
  <si>
    <t>calcProd3Seg2PartnerSalaryExp</t>
  </si>
  <si>
    <t>calcProd3Seg3MarketingExp</t>
  </si>
  <si>
    <t>calcProd3Seg3DirectSalesSalaryExp</t>
  </si>
  <si>
    <t>calcProd3Seg3PartnerSalaryExp</t>
  </si>
  <si>
    <t>calcProd1Seg1ServicesSalaryExp</t>
  </si>
  <si>
    <t>calcProd1Seg2ServicesSalaryExp</t>
  </si>
  <si>
    <t>calcProd1Seg3ServicesSalaryExp</t>
  </si>
  <si>
    <t>calcProd2Seg1ServicesSalaryExp</t>
  </si>
  <si>
    <t>calcProd2Seg2ServicesSalaryExp</t>
  </si>
  <si>
    <t>calcProd3Seg1ServicesSalaryExp</t>
  </si>
  <si>
    <t>calcProd3Seg2ServicesSalaryExp</t>
  </si>
  <si>
    <t>calcProd3Seg3ServicesSalaryExp</t>
  </si>
  <si>
    <t>Sales Force Effectiveness</t>
  </si>
  <si>
    <t>mmSubProd1Seg1FinModel</t>
  </si>
  <si>
    <t>mmSubProd1Seg1AttachSwitch</t>
  </si>
  <si>
    <t>mmSubProd1Seg1RevBalancing</t>
  </si>
  <si>
    <t>mmSubProd1Seg1BookingsBalancing</t>
  </si>
  <si>
    <t>mmSubProd1Seg1EoPARRBalancing</t>
  </si>
  <si>
    <t>mmSubProd1Seg1NetARRBalancing</t>
  </si>
  <si>
    <t>**This value times 5 determines mmSubProd1Seg1NewTAM</t>
  </si>
  <si>
    <t>mmSubProd1Seg1NewTAM</t>
  </si>
  <si>
    <t>Non-Cloud Subscriptions</t>
  </si>
  <si>
    <t>dataProd1TotalRev</t>
  </si>
  <si>
    <t>dataProd1Seg1Pct</t>
  </si>
  <si>
    <t>dataProd1Seg2Pct</t>
  </si>
  <si>
    <t>dataProd1Seg3Pct</t>
  </si>
  <si>
    <t>dataProd1CloudPct</t>
  </si>
  <si>
    <t>dataProd1NonCloudPct</t>
  </si>
  <si>
    <t>dataProd1ServicesPct</t>
  </si>
  <si>
    <t>dataProd1Seg1CloudRev</t>
  </si>
  <si>
    <t>dataProd1Seg1CloudRevGrowth</t>
  </si>
  <si>
    <t>dataProd1Seg2CloudRev</t>
  </si>
  <si>
    <t>dataProd1Seg2CloudRevGrowth</t>
  </si>
  <si>
    <t>dataProd1Seg3CloudRev</t>
  </si>
  <si>
    <t>dataProd1Seg3CloudRevGrowth</t>
  </si>
  <si>
    <t>NonCloud Revenue</t>
  </si>
  <si>
    <t>dataProd1Seg1NonCloudRev</t>
  </si>
  <si>
    <t>dataProd1Seg1NonCloudRevGrowth</t>
  </si>
  <si>
    <t>dataProd1Seg2NonCloudRev</t>
  </si>
  <si>
    <t>dataProd1Seg2NonCloudRevGrowth</t>
  </si>
  <si>
    <t>dataProd1Seg3NonCloudRev</t>
  </si>
  <si>
    <t>dataProd1Seg3NonCloudRevGrowth</t>
  </si>
  <si>
    <t>dataProd1Seg1ServicesRev</t>
  </si>
  <si>
    <t>dataProd1Seg1ServicesRevGrowth</t>
  </si>
  <si>
    <t>dataProd1Seg2ServicesRev</t>
  </si>
  <si>
    <t>dataProd1Seg2ServicesRevGrowth</t>
  </si>
  <si>
    <t>Revenue Stream Breakdown</t>
  </si>
  <si>
    <t>dataProd2CloudPct</t>
  </si>
  <si>
    <t>dataProd2ServicesPct</t>
  </si>
  <si>
    <t>dataProd2Seg1Pct</t>
  </si>
  <si>
    <t>dataProd2Seg2Pct</t>
  </si>
  <si>
    <t>dataProd2TotalRev</t>
  </si>
  <si>
    <t>dataProd2Seg1CloudRev</t>
  </si>
  <si>
    <t>dataProd2Seg1CloudRevGrowth</t>
  </si>
  <si>
    <t>dataProd2Seg2CloudRev</t>
  </si>
  <si>
    <t>dataProd2Seg2CloudRevGrowth</t>
  </si>
  <si>
    <t>dataProd2Seg1ServicesRev</t>
  </si>
  <si>
    <t>dataProd2Seg1ServicesRevGrowth</t>
  </si>
  <si>
    <t>dataProd2Seg2ServicesRev</t>
  </si>
  <si>
    <t>dataProd2Seg2ServicesRevGrowth</t>
  </si>
  <si>
    <t>dataProd1CloudRev</t>
  </si>
  <si>
    <t>dataProd1NonCloudRev</t>
  </si>
  <si>
    <t>dataProd1ServicesRev</t>
  </si>
  <si>
    <t>Customer Segment Breakdown</t>
  </si>
  <si>
    <t>dataProd1Seg1Rev</t>
  </si>
  <si>
    <t>dataProd1Seg2Rev</t>
  </si>
  <si>
    <t>dataProd1Seg3Rev</t>
  </si>
  <si>
    <t>Premiering Services Customers</t>
  </si>
  <si>
    <t>Total New Contracts</t>
  </si>
  <si>
    <t>Opening Premier Contracts</t>
  </si>
  <si>
    <t>Total Renewed Contracts</t>
  </si>
  <si>
    <t>Marketing Kicker</t>
  </si>
  <si>
    <t>Closing Security</t>
  </si>
  <si>
    <t>Closing Scalability</t>
  </si>
  <si>
    <t>Closing Interoperability</t>
  </si>
  <si>
    <t>Partner MM Score</t>
  </si>
  <si>
    <t>Engineering MM Scores</t>
  </si>
  <si>
    <t>calcCommercialMMPartner1Development</t>
  </si>
  <si>
    <t>calcCommercialMMPartner1Incentives</t>
  </si>
  <si>
    <t>calcCommercialMMPartner1Education</t>
  </si>
  <si>
    <t>calcCommercialMMPartner2Development</t>
  </si>
  <si>
    <t>calcCommercialMMPartner2Incentives</t>
  </si>
  <si>
    <t>calcCommercialMMPartner2Education</t>
  </si>
  <si>
    <t>calcCommercialMMPartner3Development</t>
  </si>
  <si>
    <t>calcCommercialMMPartner3Incentives</t>
  </si>
  <si>
    <t>calcCommercialMMPartner3Education</t>
  </si>
  <si>
    <t>calcCommercialMMPartner4Development</t>
  </si>
  <si>
    <t>calcCommercialMMPartner4Incentives</t>
  </si>
  <si>
    <t>calcCommercialMMPartner4Education</t>
  </si>
  <si>
    <t>c</t>
  </si>
  <si>
    <t>Total Score</t>
  </si>
  <si>
    <t>calcProd1Seg1PartnerMMScore</t>
  </si>
  <si>
    <t>calcProd1Seg2PartnerMMScore</t>
  </si>
  <si>
    <t>calcProd2Seg1PartnerMMScore</t>
  </si>
  <si>
    <t>calcProd2Seg2PartnerMMScore</t>
  </si>
  <si>
    <t>calcProd1Seg3PartnerMMScore</t>
  </si>
  <si>
    <t>calcProd3Seg1PartnerMMScore</t>
  </si>
  <si>
    <t>calcProd3Seg2PartnerMMScore</t>
  </si>
  <si>
    <t>calcProd3Seg3PartnerMMScore</t>
  </si>
  <si>
    <t>calcConsumerMMPartner4Development</t>
  </si>
  <si>
    <t>calcConsumerMMPartner4Incentives</t>
  </si>
  <si>
    <t>calcConsumerMMPartner4Education</t>
  </si>
  <si>
    <t>calcConsumerMMPartner5Development</t>
  </si>
  <si>
    <t>calcConsumerMMPartner5Incentives</t>
  </si>
  <si>
    <t>calcConsumerMMPartner5Education</t>
  </si>
  <si>
    <t>calcConsumerMMPartner6Development</t>
  </si>
  <si>
    <t>calcConsumerMMPartner6Incentives</t>
  </si>
  <si>
    <t>calcConsumerMMPartner6Education</t>
  </si>
  <si>
    <t>calcSeg1DirectSalesforceMMScore</t>
  </si>
  <si>
    <t>calcSeg2DirectSalesforceMMScore</t>
  </si>
  <si>
    <t>calcSeg3DirectSalesforceMMScore</t>
  </si>
  <si>
    <t>calcProd1Seg3Consumption</t>
  </si>
  <si>
    <t>Top 5 Overall</t>
  </si>
  <si>
    <t>Commercial Top 5 CLV</t>
  </si>
  <si>
    <t>Consumer Top 5 CLV</t>
  </si>
  <si>
    <t>CalcProd1Seg1CloudMigrationSubs</t>
  </si>
  <si>
    <t>CalcProd1Seg2CloudMigrationSubs</t>
  </si>
  <si>
    <t>CalcProd1Seg3CloudMigrationSubs</t>
  </si>
  <si>
    <t>General &amp; Administrative</t>
  </si>
  <si>
    <t>Renewal Rates</t>
  </si>
  <si>
    <t>cbalInternalReadiness</t>
  </si>
  <si>
    <t>FBUpdateFeedbackFile</t>
  </si>
  <si>
    <t>xxPopupWobblerValid</t>
  </si>
  <si>
    <t>D</t>
  </si>
  <si>
    <t>C</t>
  </si>
  <si>
    <t>B</t>
  </si>
  <si>
    <t>Possible Wobbler Codes</t>
  </si>
  <si>
    <t>xxPopupWobblerCondExp4Next</t>
  </si>
  <si>
    <t>xxPopupWobblerCondExp4Text</t>
  </si>
  <si>
    <t>xxPopupWobblerCond4Met</t>
  </si>
  <si>
    <t>xxPopupWobblerCondExp3Next</t>
  </si>
  <si>
    <t>xxPopupWobblerCondExp3Text</t>
  </si>
  <si>
    <t>xxPopupWobblerCond3Met</t>
  </si>
  <si>
    <t>xxPopupWobblerCondExp2Next</t>
  </si>
  <si>
    <t>xxPopupWobblerCondExp2Text</t>
  </si>
  <si>
    <t>xxPopupWobblerCond2Met</t>
  </si>
  <si>
    <t>xxPopupWobblerCondExp1Next</t>
  </si>
  <si>
    <t>xxPopupWobblerCondExp1Text</t>
  </si>
  <si>
    <t>xxPopupWobblerCond1Met</t>
  </si>
  <si>
    <t>xxPopupWobblerExplain4Next</t>
  </si>
  <si>
    <t>xxPopupWobblerExplain4Text</t>
  </si>
  <si>
    <t>xxPopupWobblerExplain3Next</t>
  </si>
  <si>
    <t>xxPopupWobblerExplain3Text</t>
  </si>
  <si>
    <t>xxPopupWobblerExplain2Next</t>
  </si>
  <si>
    <t>xxPopupWobblerExplain2Text</t>
  </si>
  <si>
    <t>xxPopupWobblerExplain1Next</t>
  </si>
  <si>
    <t>xxPopupWobblerExplain1Text</t>
  </si>
  <si>
    <t>xxPopupWobblerOption4Text</t>
  </si>
  <si>
    <t>xxPopupWobblerOption3Text</t>
  </si>
  <si>
    <t>xxPopupWobblerOption2Text</t>
  </si>
  <si>
    <t>xxPopupWobblerOption1Text</t>
  </si>
  <si>
    <t>xxPopupWobblerDescription</t>
  </si>
  <si>
    <t>xxPopupWobblerDecRange</t>
  </si>
  <si>
    <t>xxPopupWobblerDecMinDiff</t>
  </si>
  <si>
    <t>xxPopUpWobblerConditional</t>
  </si>
  <si>
    <t>xxPopupWobblerNumber</t>
  </si>
  <si>
    <t>xxPopupWobblerCurrentY4</t>
  </si>
  <si>
    <t>xxPopupWobblerStartY3</t>
  </si>
  <si>
    <t>xxPopupWobblerStartY2</t>
  </si>
  <si>
    <t>xxPopupWobblerStartY1</t>
  </si>
  <si>
    <t>Start</t>
  </si>
  <si>
    <t>xxPopupWobblerCurrent</t>
  </si>
  <si>
    <t>xxPopupWobblerMax</t>
  </si>
  <si>
    <t>PopupwWobbler_Timer</t>
  </si>
  <si>
    <t>Wobbler Time</t>
  </si>
  <si>
    <t>Wobbler Form Calculations</t>
  </si>
  <si>
    <t>Available Wobbler Codes</t>
  </si>
  <si>
    <t>**Link to WobblerCalc</t>
  </si>
  <si>
    <t>Congratulations on completing the simulation.</t>
  </si>
  <si>
    <t>You invested less than 5 cumulative levels and will face six additional weeks of rework time.</t>
  </si>
  <si>
    <t>You invested between 5 and 9 cumulative levels and will face two additional weeks of rework time.</t>
  </si>
  <si>
    <t>Cond. Tier D Next (Optional)</t>
  </si>
  <si>
    <t>Cond. Tier D Cons</t>
  </si>
  <si>
    <t>Cond. Tier D Met</t>
  </si>
  <si>
    <t>Cond. Tier C Next (Optional)</t>
  </si>
  <si>
    <t>Cond. Tier C Cons</t>
  </si>
  <si>
    <t>Cond. Tier C Met</t>
  </si>
  <si>
    <t>Cond. Tier B Next (Optional)</t>
  </si>
  <si>
    <t>Cond. Tier B Cons</t>
  </si>
  <si>
    <t>Cond. Tier B Met</t>
  </si>
  <si>
    <t>Cond. Tier A Next (Optional)</t>
  </si>
  <si>
    <t>Cond. Tier A Cons</t>
  </si>
  <si>
    <t>Cond. Tier A Met</t>
  </si>
  <si>
    <t>Opt D Next (Optional)</t>
  </si>
  <si>
    <t>Cons D</t>
  </si>
  <si>
    <t>Opt C Next (Optional)</t>
  </si>
  <si>
    <t>Cons C</t>
  </si>
  <si>
    <t>Opt B Next (Optional)</t>
  </si>
  <si>
    <t>Cons B</t>
  </si>
  <si>
    <t>Opt A Next (Optional)</t>
  </si>
  <si>
    <t>Cons A</t>
  </si>
  <si>
    <t>Option D</t>
  </si>
  <si>
    <t>Option C</t>
  </si>
  <si>
    <t>Option B</t>
  </si>
  <si>
    <t>Option A</t>
  </si>
  <si>
    <t>Tool Input Range</t>
  </si>
  <si>
    <t>PopUp Time Interval</t>
  </si>
  <si>
    <t>Conditional Wobbler</t>
  </si>
  <si>
    <t>Slot #</t>
  </si>
  <si>
    <t>Conditional Inputs</t>
  </si>
  <si>
    <t>Non-Conditional Inputs</t>
  </si>
  <si>
    <t>Wobbler Configuration</t>
  </si>
  <si>
    <t>Individual Wobbler Settings and Text</t>
  </si>
  <si>
    <t>**Determines whether participants can view all possible consequences</t>
  </si>
  <si>
    <t>PopupWobblerShowAll</t>
  </si>
  <si>
    <t>Enabled?</t>
  </si>
  <si>
    <t>Enable All Consequences for Non-Conditional Wobblers</t>
  </si>
  <si>
    <t>**Sets color of selected option</t>
  </si>
  <si>
    <t>PopupWobblerColorSelect</t>
  </si>
  <si>
    <t>Selection Color</t>
  </si>
  <si>
    <t>**Sets button mouse-over color</t>
  </si>
  <si>
    <t>PopupWobblerColorMouseMove</t>
  </si>
  <si>
    <t>Mouse-Over Color</t>
  </si>
  <si>
    <t>**Sets form font color (on white background)</t>
  </si>
  <si>
    <t>PopupWobblerFontColor</t>
  </si>
  <si>
    <t>Font Color</t>
  </si>
  <si>
    <t>**Sets form header and button color</t>
  </si>
  <si>
    <t>PopupWobblerColorHeader</t>
  </si>
  <si>
    <t>Header Color</t>
  </si>
  <si>
    <t>Form Colors</t>
  </si>
  <si>
    <t>Wobbler Form Settings</t>
  </si>
  <si>
    <t>PopupWobbler_Sim0Tool1</t>
  </si>
  <si>
    <t>SimTool</t>
  </si>
  <si>
    <t>PopupWobbler_Round</t>
  </si>
  <si>
    <t>Set-Up</t>
  </si>
  <si>
    <t xml:space="preserve">  Developer must assign formula</t>
  </si>
  <si>
    <t>1A</t>
  </si>
  <si>
    <t>PopUp Wobbler</t>
  </si>
  <si>
    <t>WobblerCalcTableRoundsIntoLaunch</t>
  </si>
  <si>
    <r>
      <t>Rounds into Launch -</t>
    </r>
    <r>
      <rPr>
        <i/>
        <sz val="11"/>
        <color theme="1"/>
        <rFont val="Verdana"/>
        <family val="2"/>
      </rPr>
      <t>-&gt; Link to adj page in "Rounds into launch" range</t>
    </r>
  </si>
  <si>
    <r>
      <t xml:space="preserve">Wobbler Code: </t>
    </r>
    <r>
      <rPr>
        <i/>
        <sz val="11"/>
        <color theme="1"/>
        <rFont val="Verdana"/>
        <family val="2"/>
      </rPr>
      <t>Link from wobbler module</t>
    </r>
  </si>
  <si>
    <t>WobblerCalcTableLaunched</t>
  </si>
  <si>
    <r>
      <t>Launched:</t>
    </r>
    <r>
      <rPr>
        <i/>
        <sz val="11"/>
        <color theme="1"/>
        <rFont val="Verdana"/>
        <family val="2"/>
      </rPr>
      <t xml:space="preserve"> Link to adj page in "Launched?" range</t>
    </r>
  </si>
  <si>
    <t>Press button at right to show rows for codes available.</t>
  </si>
  <si>
    <r>
      <t xml:space="preserve">Wobbler Code </t>
    </r>
    <r>
      <rPr>
        <i/>
        <sz val="11"/>
        <color theme="0"/>
        <rFont val="Verdana"/>
        <family val="2"/>
      </rPr>
      <t>(Pull from cbal)</t>
    </r>
  </si>
  <si>
    <t>RIL</t>
  </si>
  <si>
    <t>RL</t>
  </si>
  <si>
    <t>RIL = Rounds into launch</t>
  </si>
  <si>
    <t>RL = Round Launched</t>
  </si>
  <si>
    <t>WobblerCalcRound</t>
  </si>
  <si>
    <t>WobblerCalc</t>
  </si>
  <si>
    <t>obalWobbler1R1</t>
  </si>
  <si>
    <t>Round 1 Wobbler 1</t>
  </si>
  <si>
    <t>obalWobbler2R1</t>
  </si>
  <si>
    <t>Round 1 Wobbler 2</t>
  </si>
  <si>
    <t>obalWobbler3R1</t>
  </si>
  <si>
    <t>obalWobbler4R1</t>
  </si>
  <si>
    <t>obalWobbler5R1</t>
  </si>
  <si>
    <t>obalWobbler6R1</t>
  </si>
  <si>
    <t>obalWobbler7R1</t>
  </si>
  <si>
    <t>Round 1 Wobbler 3</t>
  </si>
  <si>
    <t>Round 1 Wobbler 4</t>
  </si>
  <si>
    <t>Round 1 Wobbler 5</t>
  </si>
  <si>
    <t>Round 1 Wobbler 6</t>
  </si>
  <si>
    <t>Round 1 Wobbler 7</t>
  </si>
  <si>
    <t>obalWobbler2R2</t>
  </si>
  <si>
    <t>obalWobbler3R2</t>
  </si>
  <si>
    <t>obalWobbler4R2</t>
  </si>
  <si>
    <t>obalWobbler5R2</t>
  </si>
  <si>
    <t>obalWobbler6R2</t>
  </si>
  <si>
    <t>obalWobbler7R2</t>
  </si>
  <si>
    <t>obalWobbler1R2</t>
  </si>
  <si>
    <t>obalWobbler1R3</t>
  </si>
  <si>
    <t>obalWobbler3R3</t>
  </si>
  <si>
    <t>obalWobbler4R3</t>
  </si>
  <si>
    <t>obalWobbler5R3</t>
  </si>
  <si>
    <t>obalWobbler6R3</t>
  </si>
  <si>
    <t>obalWobbler7R3</t>
  </si>
  <si>
    <t>obalWobbler2R3</t>
  </si>
  <si>
    <t>cbalWobbler1R1</t>
  </si>
  <si>
    <t>cbalWobbler2R1</t>
  </si>
  <si>
    <t>cbalWobbler3R1</t>
  </si>
  <si>
    <t>cbalWobbler4R1</t>
  </si>
  <si>
    <t>cbalWobbler5R1</t>
  </si>
  <si>
    <t>cbalWobbler6R1</t>
  </si>
  <si>
    <t>cbalWobbler7R1</t>
  </si>
  <si>
    <t>cbalWobbler1R2</t>
  </si>
  <si>
    <t>cbalWobbler2R2</t>
  </si>
  <si>
    <t>cbalWobbler3R2</t>
  </si>
  <si>
    <t>cbalWobbler4R2</t>
  </si>
  <si>
    <t>cbalWobbler5R2</t>
  </si>
  <si>
    <t>cbalWobbler6R2</t>
  </si>
  <si>
    <t>cbalWobbler7R2</t>
  </si>
  <si>
    <t>cbalWobbler1R3</t>
  </si>
  <si>
    <t>cbalWobbler2R3</t>
  </si>
  <si>
    <t>cbalWobbler3R3</t>
  </si>
  <si>
    <t>cbalWobbler4R3</t>
  </si>
  <si>
    <t>cbalWobbler5R3</t>
  </si>
  <si>
    <t>cbalWobbler6R3</t>
  </si>
  <si>
    <t>cbalWobbler7R3</t>
  </si>
  <si>
    <t>Wobblers</t>
  </si>
  <si>
    <t>Wobbler 1</t>
  </si>
  <si>
    <t>Wobbler 2</t>
  </si>
  <si>
    <t>Wobbler 3</t>
  </si>
  <si>
    <t>Wobbler 4</t>
  </si>
  <si>
    <t>Wobbler 5</t>
  </si>
  <si>
    <t>Wobbler 6</t>
  </si>
  <si>
    <t>Wobbler 7</t>
  </si>
  <si>
    <t>Tool Inputs</t>
  </si>
  <si>
    <t>Rounds into launch</t>
  </si>
  <si>
    <t>Launched?</t>
  </si>
  <si>
    <t>4th Round</t>
  </si>
  <si>
    <t>3rd Round</t>
  </si>
  <si>
    <t>2nd Round</t>
  </si>
  <si>
    <t>1st Round</t>
  </si>
  <si>
    <t>If not chosen</t>
  </si>
  <si>
    <t>Wobblers / Events</t>
  </si>
  <si>
    <t>2A</t>
  </si>
  <si>
    <t>2B</t>
  </si>
  <si>
    <t>Volume</t>
  </si>
  <si>
    <t>Competitor % of Avg</t>
  </si>
  <si>
    <t xml:space="preserve">Drivers </t>
  </si>
  <si>
    <t>ChallengeProd1Seg1Revenue</t>
  </si>
  <si>
    <t>ChallengeProd1Seg1COGS</t>
  </si>
  <si>
    <t>ChallengeProd2CloudAdoption</t>
  </si>
  <si>
    <t>ChallengeProd3Seg3Revenue</t>
  </si>
  <si>
    <t>ChallengeProd3Offering2</t>
  </si>
  <si>
    <t>ChallengeCollaboration</t>
  </si>
  <si>
    <t>ChallengeProd3Seg3COGS</t>
  </si>
  <si>
    <t>mmCompetitorProd1Seg1Driver1</t>
  </si>
  <si>
    <t>mmCompetitorProd1Seg1Driver2</t>
  </si>
  <si>
    <t>mmCompetitorProd1Seg1Driver3</t>
  </si>
  <si>
    <t>mmCompetitorProd1Seg1Driver4</t>
  </si>
  <si>
    <t>mmCompetitorProd1Seg1Driver5</t>
  </si>
  <si>
    <t>mmCompetitorProd1Seg1Driver6</t>
  </si>
  <si>
    <t>mmCompetitorProd1Seg1Driver7</t>
  </si>
  <si>
    <t>mmCompetitorProd1Seg1Driver8</t>
  </si>
  <si>
    <t>mmCompetitorProd1Seg1RenRate</t>
  </si>
  <si>
    <t>mmCompetitorProd1Seg2Driver1</t>
  </si>
  <si>
    <t>mmCompetitorProd1Seg2Driver2</t>
  </si>
  <si>
    <t>mmCompetitorProd1Seg2Driver3</t>
  </si>
  <si>
    <t>mmCompetitorProd1Seg2Driver4</t>
  </si>
  <si>
    <t>mmCompetitorProd1Seg2Driver5</t>
  </si>
  <si>
    <t>mmCompetitorProd1Seg2Driver6</t>
  </si>
  <si>
    <t>mmCompetitorProd1Seg2Driver7</t>
  </si>
  <si>
    <t>mmCompetitorProd1Seg2Driver8</t>
  </si>
  <si>
    <t>mmCompetitorProd1Seg2RenRate</t>
  </si>
  <si>
    <t>mmCompetitorProd1Seg3Driver1</t>
  </si>
  <si>
    <t>mmCompetitorProd1Seg3Driver2</t>
  </si>
  <si>
    <t>mmCompetitorProd1Seg3Driver3</t>
  </si>
  <si>
    <t>mmCompetitorProd1Seg3Driver4</t>
  </si>
  <si>
    <t>mmCompetitorProd1Seg3Driver5</t>
  </si>
  <si>
    <t>mmCompetitorProd1Seg3Driver6</t>
  </si>
  <si>
    <t>mmCompetitorProd1Seg3Driver7</t>
  </si>
  <si>
    <t>mmCompetitorProd1Seg3Driver8</t>
  </si>
  <si>
    <t>mmCompetitorProd1Seg3RenRate</t>
  </si>
  <si>
    <t>mmCompetitorProd2Seg1Driver1</t>
  </si>
  <si>
    <t>mmCompetitorProd2Seg1Driver2</t>
  </si>
  <si>
    <t>mmCompetitorProd2Seg1Driver3</t>
  </si>
  <si>
    <t>mmCompetitorProd2Seg1Driver4</t>
  </si>
  <si>
    <t>mmCompetitorProd2Seg1Driver5</t>
  </si>
  <si>
    <t>mmCompetitorProd2Seg1Driver6</t>
  </si>
  <si>
    <t>mmCompetitorProd2Seg1RenRate</t>
  </si>
  <si>
    <t>mmCompetitorProd2Seg2RenRate</t>
  </si>
  <si>
    <t>mmCompetitorProd3Seg1Driver1</t>
  </si>
  <si>
    <t>mmCompetitorProd3Seg1Driver2</t>
  </si>
  <si>
    <t>mmCompetitorProd3Seg1Driver3</t>
  </si>
  <si>
    <t>mmCompetitorProd3Seg1Driver4</t>
  </si>
  <si>
    <t>mmCompetitorProd3Seg1Driver5</t>
  </si>
  <si>
    <t>mmCompetitorProd3Seg1Driver6</t>
  </si>
  <si>
    <t>mmCompetitorProd3Seg2Driver1</t>
  </si>
  <si>
    <t>mmCompetitorProd3Seg2Driver2</t>
  </si>
  <si>
    <t>mmCompetitorProd3Seg2Driver3</t>
  </si>
  <si>
    <t>mmCompetitorProd3Seg2Driver4</t>
  </si>
  <si>
    <t>mmCompetitorProd3Seg2Driver5</t>
  </si>
  <si>
    <t>mmCompetitorProd3Seg2Driver6</t>
  </si>
  <si>
    <t>mmCompetitorProd1Seg1TotalSubs</t>
  </si>
  <si>
    <t>mmCompetitorProd1Seg2TotalSubs</t>
  </si>
  <si>
    <t>mmCompetitorProd1Seg3TotalSubs</t>
  </si>
  <si>
    <t>mmCompetitorProd2Seg1TotalSubs</t>
  </si>
  <si>
    <t>mmCompetitorProd2Seg2TotalSubs</t>
  </si>
  <si>
    <t>mmCompetitorProd2Seg2Driver1</t>
  </si>
  <si>
    <t>mmCompetitorProd2Seg2Driver2</t>
  </si>
  <si>
    <t>mmCompetitorProd2Seg2Driver3</t>
  </si>
  <si>
    <t>mmCompetitorProd2Seg2Driver4</t>
  </si>
  <si>
    <t>mmCompetitorProd2Seg2Driver5</t>
  </si>
  <si>
    <t>mmCompetitorProd3Seg3Driver1</t>
  </si>
  <si>
    <t>mmCompetitorProd3Seg3Driver2</t>
  </si>
  <si>
    <t>mmCompetitorProd3Seg3Driver3</t>
  </si>
  <si>
    <t>mmCompetitorProd3Seg3Driver4</t>
  </si>
  <si>
    <t>mmCompetitorProd3Seg3Driver5</t>
  </si>
  <si>
    <t>mmCompetitorProd3Seg3Driver6</t>
  </si>
  <si>
    <t>mmCompetitorProd2Seg2Driver6</t>
  </si>
  <si>
    <t>mmCompetitorProd3Seg1Share</t>
  </si>
  <si>
    <t>mmCompetitorProd3Seg2Share</t>
  </si>
  <si>
    <t>mmCompetitorProd3Seg3Share</t>
  </si>
  <si>
    <t>mmCompetitorProd2Seg1Share</t>
  </si>
  <si>
    <t>mmCompetitorProd2Seg2Share</t>
  </si>
  <si>
    <t>mmCompetitorProd1Seg1Share</t>
  </si>
  <si>
    <t>mmCompetitorProd1Seg2Share</t>
  </si>
  <si>
    <t>mmCompetitorProd1Seg3Share</t>
  </si>
  <si>
    <t>decCommercialServicesFTEs</t>
  </si>
  <si>
    <t>obalProd1Seg1NewServicesCust</t>
  </si>
  <si>
    <t>obalProd1Seg1RenewedServicesCust</t>
  </si>
  <si>
    <t>obalProd1Seg1TotalServicesCust</t>
  </si>
  <si>
    <t>obalProd1Seg2NewServicesCust</t>
  </si>
  <si>
    <t>obalProd1Seg2RenewedServicesCust</t>
  </si>
  <si>
    <t>obalProd1Seg2TotalServicesCust</t>
  </si>
  <si>
    <t>obalProd2Seg1NewServicesCust</t>
  </si>
  <si>
    <t>obalProd2Seg1RenewedServicesCust</t>
  </si>
  <si>
    <t>obalProd2Seg1TotalServicesCust</t>
  </si>
  <si>
    <t>obalProd2Seg2NewServicesCust</t>
  </si>
  <si>
    <t>obalProd2Seg2RenewedServicesCust</t>
  </si>
  <si>
    <t>obalProd2Seg2TotalServicesCust</t>
  </si>
  <si>
    <t>calcServicesProd1Seg1AttachAdj</t>
  </si>
  <si>
    <t>calcServicesProd1Seg1Attach</t>
  </si>
  <si>
    <t>ing Cost of Revenue</t>
  </si>
  <si>
    <t>calcServicesProd1Seg2AttachAdj</t>
  </si>
  <si>
    <t>calcServicesProd1Seg2Attach</t>
  </si>
  <si>
    <t>calcServicesProd2Seg1AttachAdj</t>
  </si>
  <si>
    <t>calcServicesProd2Seg1Attach</t>
  </si>
  <si>
    <t>calcServicesProd2Seg2AttachAdj</t>
  </si>
  <si>
    <t>calcServicesProd2Seg2Attach</t>
  </si>
  <si>
    <t>obalCommercialServicesFTEs</t>
  </si>
  <si>
    <t>cbalCommercialServicesFTEs</t>
  </si>
  <si>
    <t>Attach</t>
  </si>
  <si>
    <t>Service FTEs</t>
  </si>
  <si>
    <t>ServicesPrice</t>
  </si>
  <si>
    <t>Services ing Price</t>
  </si>
  <si>
    <t>ServicesCOGS</t>
  </si>
  <si>
    <t>Services ing COGS</t>
  </si>
  <si>
    <t>calcServicesProd1Seg1RenewalAdj</t>
  </si>
  <si>
    <t>calcServicesProd1Seg1Renewal</t>
  </si>
  <si>
    <t>calcServicesProd1Seg1NewCOGSPContract</t>
  </si>
  <si>
    <t>calcServicesProd1Seg1NewCOGS</t>
  </si>
  <si>
    <t>calcServicesProd1Seg1NewRev</t>
  </si>
  <si>
    <t>calcServicesProd1Seg1NewContracts</t>
  </si>
  <si>
    <t>calcServicesProd1Seg1RenewalContracts</t>
  </si>
  <si>
    <t>calcServicesProd1Seg1RenewalRev</t>
  </si>
  <si>
    <t>calcServicesProd1Seg1RenewalCOGSPContract</t>
  </si>
  <si>
    <t>calcServicesProd1Seg1RenewalCOGS</t>
  </si>
  <si>
    <t>calcServicesProd1Seg2NewContracts</t>
  </si>
  <si>
    <t>calcServicesProd1Seg2NewRev</t>
  </si>
  <si>
    <t>calcServicesProd1Seg2NewCOGSPContract</t>
  </si>
  <si>
    <t>calcServicesProd1Seg2NewCOGS</t>
  </si>
  <si>
    <t>calcServicesProd1Seg2RenewalAdj</t>
  </si>
  <si>
    <t>calcServicesProd1Seg2Renewal</t>
  </si>
  <si>
    <t>calcServicesProd1Seg2RenewalContracts</t>
  </si>
  <si>
    <t>calcServicesProd1Seg2RenewalRev</t>
  </si>
  <si>
    <t>calcServicesProd1Seg2RenewalCOGSPContract</t>
  </si>
  <si>
    <t>calcServicesProd1Seg2RenewalCOGS</t>
  </si>
  <si>
    <t>calcServicesProd2Seg1NewContracts</t>
  </si>
  <si>
    <t>calcServicesProd2Seg1NewRev</t>
  </si>
  <si>
    <t>calcServicesProd2Seg1NewCOGSPContract</t>
  </si>
  <si>
    <t>calcServicesProd2Seg1NewCOGS</t>
  </si>
  <si>
    <t>calcServicesProd2Seg1RenewalAdj</t>
  </si>
  <si>
    <t>calcServicesProd2Seg1Renewal</t>
  </si>
  <si>
    <t>calcServicesProd2Seg1RenewalContracts</t>
  </si>
  <si>
    <t>calcServicesProd2Seg1RenewalRev</t>
  </si>
  <si>
    <t>calcServicesProd2Seg1RenewalCOGSPContract</t>
  </si>
  <si>
    <t>calcServicesProd2Seg1RenewalCOGS</t>
  </si>
  <si>
    <t>calcServicesProd2Seg2NewContracts</t>
  </si>
  <si>
    <t>calcServicesProd2Seg2NewRev</t>
  </si>
  <si>
    <t>calcServicesProd2Seg2NewCOGSPContract</t>
  </si>
  <si>
    <t>calcServicesProd2Seg2NewCOGS</t>
  </si>
  <si>
    <t>calcServicesProd2Seg2RenewalAdj</t>
  </si>
  <si>
    <t>calcServicesProd2Seg2Renewal</t>
  </si>
  <si>
    <t>calcServicesProd2Seg2RenewalContracts</t>
  </si>
  <si>
    <t>calcServicesProd2Seg2RenewalRev</t>
  </si>
  <si>
    <t>calcServicesProd2Seg2RenewalCOGSPContract</t>
  </si>
  <si>
    <t>calcServicesProd2Seg2RenewalCOGS</t>
  </si>
  <si>
    <t xml:space="preserve"> Revenue</t>
  </si>
  <si>
    <t>dataProd1Seg1RevGrowth</t>
  </si>
  <si>
    <t>dataProd1Seg2RevGrowth</t>
  </si>
  <si>
    <t>dataProd1Seg3RevGrowth</t>
  </si>
  <si>
    <t>dataProd2Seg1Rev</t>
  </si>
  <si>
    <t>dataProd2Seg1RevGrowth</t>
  </si>
  <si>
    <t>dataProd2Seg2Rev</t>
  </si>
  <si>
    <t>dataProd2Seg2RevGrowth</t>
  </si>
  <si>
    <t>btnLevelDec29</t>
  </si>
  <si>
    <t>btnLevelDec30</t>
  </si>
  <si>
    <t>btnLevelSheet29</t>
  </si>
  <si>
    <t>btnLevelSheet30</t>
  </si>
  <si>
    <t>btnLevelLevels29</t>
  </si>
  <si>
    <t>btnLevelLevels30</t>
  </si>
  <si>
    <t>obalCommercialSkill1</t>
  </si>
  <si>
    <t>obalCommercialSkill2</t>
  </si>
  <si>
    <t>obalCommercialSkill3</t>
  </si>
  <si>
    <t>obalConsumerSkill1</t>
  </si>
  <si>
    <t>obalConsumerSkill2</t>
  </si>
  <si>
    <t>decCommercialSkill1</t>
  </si>
  <si>
    <t>decCommercialSkill2</t>
  </si>
  <si>
    <t>decCommercialSkill3</t>
  </si>
  <si>
    <t>decConsumerSkill1</t>
  </si>
  <si>
    <t>decConsumerSkill2</t>
  </si>
  <si>
    <t>calcCommercialSkill1FTEs</t>
  </si>
  <si>
    <t>calcCommercialSkill2FTEs</t>
  </si>
  <si>
    <t>calcCommercialSkill3FTEs</t>
  </si>
  <si>
    <t>calcConsumerSkill1FTEs</t>
  </si>
  <si>
    <t>calcConsumerSkill2FTEs</t>
  </si>
  <si>
    <t>calcCommercialSkill1Exp</t>
  </si>
  <si>
    <t>calcCommercialSkill2Exp</t>
  </si>
  <si>
    <t>calcCommercialSkill3Exp</t>
  </si>
  <si>
    <t>calcConsumerSkill1Exp</t>
  </si>
  <si>
    <t>calcConsumerSkill2Exp</t>
  </si>
  <si>
    <t>calcCommercialSkill1</t>
  </si>
  <si>
    <t>calcCommercialSkill2</t>
  </si>
  <si>
    <t>calcCommercialSkill3</t>
  </si>
  <si>
    <t>calcConsumerSkill1</t>
  </si>
  <si>
    <t>calcConsumerSkill2</t>
  </si>
  <si>
    <t>cbalCommercialSkill1</t>
  </si>
  <si>
    <t>cbalCommercialSkill2</t>
  </si>
  <si>
    <t>cbalCommercialSkill3</t>
  </si>
  <si>
    <t>cbalConsumerSkill1</t>
  </si>
  <si>
    <t>cbalConsumerSkill2</t>
  </si>
  <si>
    <t>Active?</t>
  </si>
  <si>
    <t>CalibrateDec</t>
  </si>
  <si>
    <t>FTEs/Expenses</t>
  </si>
  <si>
    <t>CalibrateFTEsExpenses</t>
  </si>
  <si>
    <t>CalibrateEndingLevels</t>
  </si>
  <si>
    <t>Ending Levels</t>
  </si>
  <si>
    <t>CalibrateSubscriptions</t>
  </si>
  <si>
    <t>CalibrateServices</t>
  </si>
  <si>
    <t>CalibrateUnits</t>
  </si>
  <si>
    <t>CalibrateConsumption</t>
  </si>
  <si>
    <t>CalibrateCustSuccess</t>
  </si>
  <si>
    <t>CalibrateDataCenter</t>
  </si>
  <si>
    <t>CalibrateCollabIntReadiness</t>
  </si>
  <si>
    <t>Collaboration &amp; Internal Readiness</t>
  </si>
  <si>
    <t>CalibrateCLV</t>
  </si>
  <si>
    <t>CalibrateExecution</t>
  </si>
  <si>
    <t>CalibrateCPE</t>
  </si>
  <si>
    <t>CalibrateWHI</t>
  </si>
  <si>
    <t>Profit and Loss</t>
  </si>
  <si>
    <t>CalibrateFinPNL</t>
  </si>
  <si>
    <t>CalibrateWobblers</t>
  </si>
  <si>
    <t>CalibrateAdj</t>
  </si>
  <si>
    <t>CalibrateParam</t>
  </si>
  <si>
    <t>CalibrateObal</t>
  </si>
  <si>
    <t>CalibrateCbal</t>
  </si>
  <si>
    <t>CalibrateMMCompetitor</t>
  </si>
  <si>
    <t>Competitor Data</t>
  </si>
  <si>
    <t>calcChallengeFTEs</t>
  </si>
  <si>
    <t>ChallengeProd1Seg1Consumption</t>
  </si>
  <si>
    <t>Migration Rate</t>
  </si>
  <si>
    <t>NavCommercialRange5</t>
  </si>
  <si>
    <t>HideRowsCommercialCloudMigration</t>
  </si>
  <si>
    <t>HideRowsCommercialTalent</t>
  </si>
  <si>
    <t>NavConsumerRange4</t>
  </si>
  <si>
    <t>HideRowsConsumerTalent</t>
  </si>
  <si>
    <t>CP Advocacy</t>
  </si>
  <si>
    <t>League</t>
  </si>
  <si>
    <t>finPNLMarketingExp</t>
  </si>
  <si>
    <t>finPNLPartnerActivityExp</t>
  </si>
  <si>
    <t>finPNLGAExp</t>
  </si>
  <si>
    <t>finPNLOpsSalaryExp</t>
  </si>
  <si>
    <t>finPNLUnallocatedSalaryExp</t>
  </si>
  <si>
    <t>finPNLTalentDevExp</t>
  </si>
  <si>
    <t>Profit &amp; Loss Statement</t>
  </si>
  <si>
    <t>Cost of Goods Sold</t>
  </si>
  <si>
    <t>Sales &amp; Marketing Expense</t>
  </si>
  <si>
    <t>Total Sales &amp; Marketing Expense</t>
  </si>
  <si>
    <t>% of Total Revenue</t>
  </si>
  <si>
    <t>Misc. General &amp; Administrative</t>
  </si>
  <si>
    <t>Total General &amp; Administrative</t>
  </si>
  <si>
    <t>Total Operating Profit</t>
  </si>
  <si>
    <t>Total Operating Margin</t>
  </si>
  <si>
    <t>A1:O55</t>
  </si>
  <si>
    <t>Utilized</t>
  </si>
  <si>
    <t>Available</t>
  </si>
  <si>
    <t>Platform Investments Analysis</t>
  </si>
  <si>
    <t>Operations &amp; Marketing</t>
  </si>
  <si>
    <t>xxAudience</t>
  </si>
  <si>
    <t>Score</t>
  </si>
  <si>
    <t>obalTotalScore</t>
  </si>
  <si>
    <t>cbalTotalScore</t>
  </si>
  <si>
    <t>calcCloudMigration</t>
  </si>
  <si>
    <t>calcCloudMigrationInternalReadiness</t>
  </si>
  <si>
    <t>Maximum</t>
  </si>
  <si>
    <t>calcCloudMigrationSuccessRate</t>
  </si>
  <si>
    <t>CalcProd1Seg1CloudMigrationChurnSubs</t>
  </si>
  <si>
    <t>Regrettable Churn</t>
  </si>
  <si>
    <t>calcCloudMigrationChurnRate</t>
  </si>
  <si>
    <t>Cloud Migration Churn</t>
  </si>
  <si>
    <t>CalcProd1Seg2CloudMigrationChurnSubs</t>
  </si>
  <si>
    <t>calcCloudMigrationSkill2</t>
  </si>
  <si>
    <t>Migrated to the Cloud</t>
  </si>
  <si>
    <t>EG Industry Averages</t>
  </si>
  <si>
    <t>IndustryAvgEGSecurity</t>
  </si>
  <si>
    <t>IndustryAvgEGInteroperability</t>
  </si>
  <si>
    <t>IndustryAvgEGScalability</t>
  </si>
  <si>
    <t>IndustryAvgEGProd1Offering1</t>
  </si>
  <si>
    <t>IndustryAvgEGProd1Offering2</t>
  </si>
  <si>
    <t>IndustryAvgEGProd2Offering1</t>
  </si>
  <si>
    <t>IndustryAvgEGProd2Offering2</t>
  </si>
  <si>
    <t>IndustryAvgEGProd3Offering1</t>
  </si>
  <si>
    <t>IndustryAvgEGProd3Offering2</t>
  </si>
  <si>
    <t>Commercial Industry Averages</t>
  </si>
  <si>
    <t>IndustryAvgCommercialSkill1</t>
  </si>
  <si>
    <t>IndustryAvgCommercialSkill2</t>
  </si>
  <si>
    <t>IndustryAvgCommercialSkill3</t>
  </si>
  <si>
    <t>IndustryAvgCommercialSalesFTEs</t>
  </si>
  <si>
    <t>IndustryAvgCommercialServicesFTEs</t>
  </si>
  <si>
    <t>IndustryAvgCommercialInsideSalesFTEs</t>
  </si>
  <si>
    <t>Consumer Industry Averages</t>
  </si>
  <si>
    <t>IndustryAvgConsumerSkill1</t>
  </si>
  <si>
    <t>IndustryAvgConsumerSkill2</t>
  </si>
  <si>
    <t>IndustryAvgConsumerSalesFTEs</t>
  </si>
  <si>
    <t>IndustryAvgConsumerInsideSalesFTEs</t>
  </si>
  <si>
    <t>IndustryAvgConsumerServicesFTEs</t>
  </si>
  <si>
    <t>Industry Average</t>
  </si>
  <si>
    <t>The Price is Right?!?</t>
  </si>
  <si>
    <t xml:space="preserve">We’re Being Sold Short
</t>
  </si>
  <si>
    <t>Text</t>
  </si>
  <si>
    <t>Sheet 20</t>
  </si>
  <si>
    <t>Sheet 19</t>
  </si>
  <si>
    <t>Sheet 18</t>
  </si>
  <si>
    <t>Sheet 17</t>
  </si>
  <si>
    <t>Sheet 16</t>
  </si>
  <si>
    <t>Sheet 15</t>
  </si>
  <si>
    <t>Sheet 14</t>
  </si>
  <si>
    <t>Sheet 13</t>
  </si>
  <si>
    <t>Sheet 12</t>
  </si>
  <si>
    <t>Sheet 11</t>
  </si>
  <si>
    <t>Sheet 10</t>
  </si>
  <si>
    <t>Sheet 9</t>
  </si>
  <si>
    <t>Sheet 8</t>
  </si>
  <si>
    <t>Sheet 7</t>
  </si>
  <si>
    <t>Sheet 6</t>
  </si>
  <si>
    <t>Sheet 5</t>
  </si>
  <si>
    <t>Sheet 4</t>
  </si>
  <si>
    <t>Sheet 3</t>
  </si>
  <si>
    <t>Sheet 2</t>
  </si>
  <si>
    <t>Sheet 1</t>
  </si>
  <si>
    <t>Sheets to Delete</t>
  </si>
  <si>
    <t>xxResetTeam</t>
  </si>
  <si>
    <t>Reset Team</t>
  </si>
  <si>
    <t>ObalPaste</t>
  </si>
  <si>
    <t>xxObalTeam2</t>
  </si>
  <si>
    <t>xxObalTeam3</t>
  </si>
  <si>
    <t>xxObalTeam4</t>
  </si>
  <si>
    <t>xxObalTeam10</t>
  </si>
  <si>
    <t>xxObalTeam9</t>
  </si>
  <si>
    <t>xxObalTeam8</t>
  </si>
  <si>
    <t>xxObalTeam7</t>
  </si>
  <si>
    <t>xxObalTeam6</t>
  </si>
  <si>
    <t>xxObalTeam5</t>
  </si>
  <si>
    <t>A1:O150</t>
  </si>
  <si>
    <t>cbalOpsCollabFTEs</t>
  </si>
  <si>
    <t>Effect</t>
  </si>
  <si>
    <t>Invesment Decision</t>
  </si>
  <si>
    <t>**set to very high values for endpoint of curve</t>
  </si>
  <si>
    <t>deltaY</t>
  </si>
  <si>
    <t>deltaX</t>
  </si>
  <si>
    <t>Base Impact Values Per Round</t>
  </si>
  <si>
    <t>Multipliers for Quick Adjustment by Consultants</t>
  </si>
  <si>
    <t>tableKnownY1</t>
  </si>
  <si>
    <t>tableKnownX1</t>
  </si>
  <si>
    <t>Segment 1</t>
  </si>
  <si>
    <t>**from DecTeamName</t>
  </si>
  <si>
    <t>LookupRound</t>
  </si>
  <si>
    <t>LookupTable Module</t>
  </si>
  <si>
    <t>cbalTeamName</t>
  </si>
  <si>
    <t>RankTotalCLV</t>
  </si>
  <si>
    <t>RankCommercialCLV</t>
  </si>
  <si>
    <t>RankConsumerCLV</t>
  </si>
  <si>
    <t>RankProd1Seg1CLV</t>
  </si>
  <si>
    <t>RankProd1Seg2CLV</t>
  </si>
  <si>
    <t>RankProd1Seg3CLV</t>
  </si>
  <si>
    <t>RankProd2Seg1CLV</t>
  </si>
  <si>
    <t>RankProd2Seg2CLV</t>
  </si>
  <si>
    <t>RankProd3Seg1CLV</t>
  </si>
  <si>
    <t>RankProd3Seg2CLV</t>
  </si>
  <si>
    <t>RankProd3Seg3CLV</t>
  </si>
  <si>
    <t>RankWHI</t>
  </si>
  <si>
    <t>RankCPA</t>
  </si>
  <si>
    <t>RankCollaboration</t>
  </si>
  <si>
    <t>Customer Revenue</t>
  </si>
  <si>
    <t>Customer Operating Margin</t>
  </si>
  <si>
    <t>Customer CSAT</t>
  </si>
  <si>
    <t>Customer EE</t>
  </si>
  <si>
    <t>A1:O200</t>
  </si>
  <si>
    <t>Total Data Centers</t>
  </si>
  <si>
    <t>obalTeamName</t>
  </si>
  <si>
    <t>obalCommercialTotalMarketingPct</t>
  </si>
  <si>
    <t>obalCommercialProd1MarketingPct</t>
  </si>
  <si>
    <t>obalCommercialProd2MarketingPct</t>
  </si>
  <si>
    <t>obalCommercialProd3MarketingPct</t>
  </si>
  <si>
    <t>obalConsumerTotalMarketingPct</t>
  </si>
  <si>
    <t>obalConsumerProd1MarketingPct</t>
  </si>
  <si>
    <t>obalConsumerProd3MarketingPct</t>
  </si>
  <si>
    <t>cbalConsumerProd3MarketingPct</t>
  </si>
  <si>
    <t>cbalConsumerProd1MarketingPct</t>
  </si>
  <si>
    <t>cbalConsumerTotalMarketingPct</t>
  </si>
  <si>
    <t>cbalCommercialTotalMarketingPct</t>
  </si>
  <si>
    <t>cbalCommercialProd1MarketingPct</t>
  </si>
  <si>
    <t>cbalCommercialProd2MarketingPct</t>
  </si>
  <si>
    <t>cbalCommercialProd3MarketingPct</t>
  </si>
  <si>
    <t>decOpsCollabFTEs</t>
  </si>
  <si>
    <t>Video Links</t>
  </si>
  <si>
    <t>FilePath</t>
  </si>
  <si>
    <t>WobblerVideoCurrent</t>
  </si>
  <si>
    <t>Video Wobbler?</t>
  </si>
  <si>
    <t>xxPopupVideoWobbler</t>
  </si>
  <si>
    <t>Maintain</t>
  </si>
  <si>
    <t>Significant Decrease</t>
  </si>
  <si>
    <t>Significnant Increase</t>
  </si>
  <si>
    <t>calcEGSecurityCollab</t>
  </si>
  <si>
    <t>calcEGScalabilityCollab</t>
  </si>
  <si>
    <t>calcEGInteroperabilityCollab</t>
  </si>
  <si>
    <t>calcEGProd1Offering1Collab</t>
  </si>
  <si>
    <t>calcEGProd1Offering2Collab</t>
  </si>
  <si>
    <t>calcEGProd2Offering1Collab</t>
  </si>
  <si>
    <t>calcEGProd2Offering2Collab</t>
  </si>
  <si>
    <t>calcEGProd3Offering1Collab</t>
  </si>
  <si>
    <t>calcEGProd3Offering2Collab</t>
  </si>
  <si>
    <t>calcEGSecurityMarketing</t>
  </si>
  <si>
    <t>calcEGScalabilityMarketing</t>
  </si>
  <si>
    <t>calcEGInteroperabilityMarketing</t>
  </si>
  <si>
    <t>calcEGProd1Offering1Marketing</t>
  </si>
  <si>
    <t>calcEGProd1Offering2Marketing</t>
  </si>
  <si>
    <t>calcEGProd2Offering2Marketing</t>
  </si>
  <si>
    <t>calcEGProd3Offering1Marketing</t>
  </si>
  <si>
    <t>calcEGProd3Offering2Marketing</t>
  </si>
  <si>
    <t>FTEs Allocated</t>
  </si>
  <si>
    <t>Last Round</t>
  </si>
  <si>
    <t>This Round</t>
  </si>
  <si>
    <t>Cloud Subscriptions</t>
  </si>
  <si>
    <t>calcProd3Seg1MatExpCOGSPUnit</t>
  </si>
  <si>
    <t>Decision Effectiveness</t>
  </si>
  <si>
    <t>calcEGSecurityInvestment</t>
  </si>
  <si>
    <t>Engineering Effectiveness</t>
  </si>
  <si>
    <t>Security Decision Effectiveness</t>
  </si>
  <si>
    <t>Scalability Decision Effectiveness</t>
  </si>
  <si>
    <t>calcEGScalabilityInvestment</t>
  </si>
  <si>
    <t>Interoperability Decision Effectiveness</t>
  </si>
  <si>
    <t>calcEGInteroperabilityInvestment</t>
  </si>
  <si>
    <t>calcEGProd1Offering1Investment</t>
  </si>
  <si>
    <t>calcEGProd1Offering2Investment</t>
  </si>
  <si>
    <t>calcEGProd2Offering1Investment</t>
  </si>
  <si>
    <t>calcEGProd2Offering2Investment</t>
  </si>
  <si>
    <t>calcEGProd3Offering1Investment</t>
  </si>
  <si>
    <t>calcEGProd3Offering2Investment</t>
  </si>
  <si>
    <t>Cloud Migration Analysis</t>
  </si>
  <si>
    <t>On-Premise Licenses</t>
  </si>
  <si>
    <t>Engineering Requests</t>
  </si>
  <si>
    <t>ChallengeProd2Seg1Revenue</t>
  </si>
  <si>
    <t>ChallengeProd2Seg1COGS</t>
  </si>
  <si>
    <t>Customer Success:</t>
  </si>
  <si>
    <t>COMMERCIAL SEGMENT ALLOCATION</t>
  </si>
  <si>
    <t>CONSUMER SEGMENT ALLOCATION</t>
  </si>
  <si>
    <t>AMBITION ALLOCATION</t>
  </si>
  <si>
    <t>Commercial Segment</t>
  </si>
  <si>
    <t>Consumer Segment</t>
  </si>
  <si>
    <t>Managed Services</t>
  </si>
  <si>
    <t xml:space="preserve">New </t>
  </si>
  <si>
    <t xml:space="preserve">On-Premise </t>
  </si>
  <si>
    <t xml:space="preserve">Renewed </t>
  </si>
  <si>
    <t xml:space="preserve">Deferred </t>
  </si>
  <si>
    <t xml:space="preserve">Services </t>
  </si>
  <si>
    <t>A1:U150</t>
  </si>
  <si>
    <t>Security Decison</t>
  </si>
  <si>
    <t>Scalability Decision</t>
  </si>
  <si>
    <t>Interoperability Decision</t>
  </si>
  <si>
    <t>obalEGProd3Offering2Dec</t>
  </si>
  <si>
    <t>obalEGProd3Offering1Dec</t>
  </si>
  <si>
    <t>obalEGProd2Offering2Dec</t>
  </si>
  <si>
    <t>obalEGProd2Offering1Dec</t>
  </si>
  <si>
    <t>obalEGProd1Offering2Dec</t>
  </si>
  <si>
    <t>obalEGProd1Offering1Dec</t>
  </si>
  <si>
    <t>obalEGInteroperabilityDec</t>
  </si>
  <si>
    <t>obalEGScalabilityDec</t>
  </si>
  <si>
    <t>obalEGSecurityDec</t>
  </si>
  <si>
    <t>cbalEGSecurityDec</t>
  </si>
  <si>
    <t>cbalEGScalabilityDec</t>
  </si>
  <si>
    <t>cbalEGInteroperabilityDec</t>
  </si>
  <si>
    <t>cbalEGProd1Offering1Dec</t>
  </si>
  <si>
    <t>cbalEGProd1Offering2Dec</t>
  </si>
  <si>
    <t>cbalEGProd2Offering1Dec</t>
  </si>
  <si>
    <t>cbalEGProd2Offering2Dec</t>
  </si>
  <si>
    <t>cbalEGProd3Offering1Dec</t>
  </si>
  <si>
    <t>cbalEGProd3Offering2Dec</t>
  </si>
  <si>
    <t>Partner Relationships</t>
  </si>
  <si>
    <t>Average of Nimbolt Teams</t>
  </si>
  <si>
    <t>Nimbolt</t>
  </si>
  <si>
    <t>Collaboration FTEs</t>
  </si>
  <si>
    <t>AnalysisR1WHIScore</t>
  </si>
  <si>
    <t>ManualAdjProd1Seg1Share</t>
  </si>
  <si>
    <t>ManualAdjProd2Seg2Share</t>
  </si>
  <si>
    <t>Round 1 Coach WHI</t>
  </si>
  <si>
    <t>Round 2 Outside Sim Activities Impacts</t>
  </si>
  <si>
    <t>Round 2 Coach WHI</t>
  </si>
  <si>
    <t>adjR1WHIScore</t>
  </si>
  <si>
    <t>adjR2WHIScore</t>
  </si>
  <si>
    <t>AnalysisR2WHIScore</t>
  </si>
  <si>
    <t>ManualAdjProd3Seg3Share</t>
  </si>
  <si>
    <t>ManualAdjProd1Seg2Share</t>
  </si>
  <si>
    <t>PrintAnalysisReport</t>
  </si>
  <si>
    <t>PrintCompetitorReport</t>
  </si>
  <si>
    <t>PrintAnnualReportsTeam</t>
  </si>
  <si>
    <t>PrintAnnualReportsAll</t>
  </si>
  <si>
    <t>PrintReports</t>
  </si>
  <si>
    <t>Competitor Report</t>
  </si>
  <si>
    <t>dataProd1Seg1ServicesPct</t>
  </si>
  <si>
    <t>dataProd1Seg2ServicesPct</t>
  </si>
  <si>
    <t>dataProd2Seg1ServicesPct</t>
  </si>
  <si>
    <t>dataProd2Seg2ServicesPct</t>
  </si>
  <si>
    <t>Supply Chain on Materials Cost</t>
  </si>
  <si>
    <t>R</t>
  </si>
  <si>
    <t>SimActivityUG</t>
  </si>
  <si>
    <t>obalWobbler8R1</t>
  </si>
  <si>
    <t>Round 1 Wobbler 8</t>
  </si>
  <si>
    <t>cbalWobbler8R1</t>
  </si>
  <si>
    <t>InfoButtonToggleLabel</t>
  </si>
  <si>
    <t>Hide/Show Text</t>
  </si>
  <si>
    <t>Text for Toggle Button</t>
  </si>
  <si>
    <t>InfoButtonStatus</t>
  </si>
  <si>
    <t>1 = Visible, 0 =Not</t>
  </si>
  <si>
    <t>Current Status</t>
  </si>
  <si>
    <t>InfoButtonSht</t>
  </si>
  <si>
    <t>InfoButtonText</t>
  </si>
  <si>
    <t>InfoButtonNum</t>
  </si>
  <si>
    <t>InfoButton</t>
  </si>
  <si>
    <r>
      <t xml:space="preserve">Button </t>
    </r>
    <r>
      <rPr>
        <sz val="11"/>
        <color theme="1"/>
        <rFont val="Verdana"/>
        <family val="2"/>
      </rPr>
      <t>(CUT and Paste to Sheet)</t>
    </r>
  </si>
  <si>
    <t>Info Button Number</t>
  </si>
  <si>
    <t>InfoButtonToggleHide</t>
  </si>
  <si>
    <t>Hide Info</t>
  </si>
  <si>
    <t>Hide</t>
  </si>
  <si>
    <t>InfoButtonToggleShow</t>
  </si>
  <si>
    <t>Show Info</t>
  </si>
  <si>
    <t>Show</t>
  </si>
  <si>
    <t>Toggle Button Text</t>
  </si>
  <si>
    <t>InfoButtonTitle</t>
  </si>
  <si>
    <t>Toggle Button</t>
  </si>
  <si>
    <t>Information</t>
  </si>
  <si>
    <t>Window Title</t>
  </si>
  <si>
    <t>Button Inputs</t>
  </si>
  <si>
    <t>InfoButtonColor</t>
  </si>
  <si>
    <t>Info Button Color</t>
  </si>
  <si>
    <t>Color Inputs</t>
  </si>
  <si>
    <t>tlEngineering</t>
  </si>
  <si>
    <t>CoachingGuide</t>
  </si>
  <si>
    <t>All Annual Reports</t>
  </si>
  <si>
    <t>Individual Team Annual Reports</t>
  </si>
  <si>
    <t>Coaching Analysis</t>
  </si>
  <si>
    <t>Sim Analysis Activity</t>
  </si>
  <si>
    <t>PrintSimAnalysisReport</t>
  </si>
  <si>
    <t>Participant Printing</t>
  </si>
  <si>
    <t>Facilitator Printing</t>
  </si>
  <si>
    <t>PrintCoachAnalysisReport</t>
  </si>
  <si>
    <t>Slide Analysis</t>
  </si>
  <si>
    <t>calcEGProd2Offering1Marketing</t>
  </si>
  <si>
    <t>calcMMScoreSecurity</t>
  </si>
  <si>
    <t>calcMMScoreScalability</t>
  </si>
  <si>
    <t>calcMMScoreInteroperability</t>
  </si>
  <si>
    <t>calcMMScoreProd1Offering1</t>
  </si>
  <si>
    <t>calcMMScoreProd1Offering2</t>
  </si>
  <si>
    <t>calcMMScoreProd2Offering1</t>
  </si>
  <si>
    <t>calcMMScoreProd2Offering2</t>
  </si>
  <si>
    <t>calcMMScoreProd3Offering1</t>
  </si>
  <si>
    <t>calcMMScoreProd3Offering2</t>
  </si>
  <si>
    <t>calcMMScoreProd1</t>
  </si>
  <si>
    <t>calcMMScoreProd2</t>
  </si>
  <si>
    <t>calcMMScoreProd3</t>
  </si>
  <si>
    <t>UG</t>
  </si>
  <si>
    <t>You have overallocated your FTEs. Please adjust before submitting your decisions.</t>
  </si>
  <si>
    <t>Your data centers are being utilized over 100%. Please adjust your decisions before submitting.</t>
  </si>
  <si>
    <t xml:space="preserve"> </t>
  </si>
  <si>
    <t>btnLevelLevels0</t>
  </si>
  <si>
    <t>btnLevelSheet0</t>
  </si>
  <si>
    <t>btnLevelDec0</t>
  </si>
  <si>
    <t>btnPlusMinusIncr0</t>
  </si>
  <si>
    <t>btnPlusMinusMax0</t>
  </si>
  <si>
    <t>btnPlusMinusMin0</t>
  </si>
  <si>
    <t>btnPlusMinusDec0</t>
  </si>
  <si>
    <t>Error Handler</t>
  </si>
  <si>
    <t>xxDemoTool</t>
  </si>
  <si>
    <t>Congratulations! Due to you high investment in partner education last round, you were to mitigate this challenge with no negative impacts to your business.</t>
  </si>
  <si>
    <t>Balancing</t>
  </si>
  <si>
    <t>CalibrateBalancing</t>
  </si>
  <si>
    <t>ManualAdjProd1Seg1RenRate</t>
  </si>
  <si>
    <t>ManualAdjProd1Seg2RenRate</t>
  </si>
  <si>
    <t>ManualAdjProd1Seg3Share</t>
  </si>
  <si>
    <t>ManualAdjProd1Seg3RenRate</t>
  </si>
  <si>
    <t>ManualAdjProd2Seg1Share</t>
  </si>
  <si>
    <t>ManualAdjProd2Seg1RenRate</t>
  </si>
  <si>
    <t>ManualAdjProd2Seg2RenRate</t>
  </si>
  <si>
    <t>ManualAdjProd3Seg1Share</t>
  </si>
  <si>
    <t>ManualAdjProd3Seg2Share</t>
  </si>
  <si>
    <t>Initial Ending</t>
  </si>
  <si>
    <t>ManualAdjCPAdvocacy</t>
  </si>
  <si>
    <t>ManualAdjExecution</t>
  </si>
  <si>
    <t>ManualAdjWHI</t>
  </si>
  <si>
    <t>VideoWobbler1</t>
  </si>
  <si>
    <t>VideoWobbler2</t>
  </si>
  <si>
    <t>VideoWobbler3</t>
  </si>
  <si>
    <t>VideoWobbler4</t>
  </si>
  <si>
    <t>VideoWobbler5</t>
  </si>
  <si>
    <t>xxVideoWobblerRange</t>
  </si>
  <si>
    <t>Video Wobbler Range</t>
  </si>
  <si>
    <t>Schedule a face-to-face with the Cola Co. Chief Information Officer and Business Decision Makers to get a better understanding of Cola Co.’s challenges. Your goal in this meeting is to lead with how Nimbolt's products differ from M.I.B.'s solutions. Articulate how Nimbolt’s Azul Platform can provide more than a data analytics platform. Nimbolt solutions listen, learn, and predict, highlighting future growth opportunities for Cola Co. You will not focus on pricing during this meeting time but hope to justify why your price is higher than M.I.B. 
FTEs: 15</t>
  </si>
  <si>
    <t>MACH%20Videos\1.1_Wobbler_Inside%20Sales%20Industry%20Trend.mp4</t>
  </si>
  <si>
    <t>MACH%20Videos\1.4_Wobbler_Bamazong%20Datacentre%20Expansion.mp4</t>
  </si>
  <si>
    <t>MACH%20Videos\1.7_Wobbler_Opal%20acquires%20AI%20Start-up%20Chippy.mp4</t>
  </si>
  <si>
    <t>MACH%20Videos\2.3_Wobbler_Cyberwar.mp4</t>
  </si>
  <si>
    <t>MACH%20Videos\2.4_Wobbler_Department%20of%20Education%20ends%20exclusive%20partnership%20with%20Goggle.mp4</t>
  </si>
  <si>
    <t>A1:Q250</t>
  </si>
  <si>
    <t>This customer is too important to take unnecessary risk. Given Cola Co.’s influence and the credibility they extend to Nimbolt, we should provide the 20-percent discount. This will ensure we keep M.I.B out of the conversation. This will also ensure that we continue to be the best partner we can be as Cola Co. grows. We may lose some return on the discount now, but this approach should open up doors for us to provide more products and services down the line.
FTEs: None</t>
  </si>
  <si>
    <t>During your face-to-face meeting, you were able to illustrate how, over recent years, Nimbolt’s expertise and breadth of offerings have been a great benefit for Cola Co. Cola Co. was happy with the outcome of the meeting and decided to stick with Azul and even build out some additional applications to get maximum use out of the service.
CP Advocacy: +.5
PB Consumption: +2%</t>
  </si>
  <si>
    <t>Cola Co. was very excited to see how much Nimbolt values the relationship, and they were grateful that you could get more competitive on pricing. They asked you to implement Azul Infrastructure analysis services, and they said they look forward to working with your team again. Unfortunately, your margin takes a hit because of this price decrease, and the Cola Co. account lead is concerned that you have opened the door for more competitors to come in and further drive down your price.
CP Advocacy: +1.5
PB Revenue: -$500,000</t>
  </si>
  <si>
    <t>Send a request to Engineering to have the Table keyboard fixed and re-launched to the market. Time is of the essence, and with Bullseye among the retailers changing their level of support and marketing of this product, we run the risk of missing our revenue target.
FTEs: 15 
Cost: $6,000,000</t>
  </si>
  <si>
    <t>Send a request to Engineering to have the keyboard fixed and enlist the Bullseye sales force as testers before re-launching to the broader market. Bullseye would appreciate our quick action and our partner mindset in bringing them in to be part of the solution.
FTEs: 20 
Cost: $2,000,000</t>
  </si>
  <si>
    <t>Do additional research and analysis on consumer usage of Table. If we can involve both field sellers and Inside Sales, we may be able to gather enough data not only to support our case for the fix to Engineering, but also to uncover a larger opportunity. This will take more time up front, resulting in missed revenue targets for this year. 
FTEs: 45 
Cost: $2,000,000</t>
  </si>
  <si>
    <t>The Engineering team accepts the request, and Bullseye is very excited that you brought them onboard to help with testing. You were able to successfully fix the initial issue, and you eliminated some bugs during the initial testing with the help of the Bullseye associates. In addition, Bullseye associates became educated on and an advocate of the Table, selling more than expected by the end of the year. Even though you were able to capture a lot of the revenue that would have been lost, the trade-off was the stress and reprioritization that occurred in the Engineering team to make this possible. 
CP Advocacy: +1
Collaboration: -3 
PC Revenue: +$3,000,000</t>
  </si>
  <si>
    <t>The Engineering group accepts your request, and the Table keyboard gets re-launched in the market in time for you to meet your revenue forecast. However, the urgency of the request caused some chaos and reprioritization within the Engineering group. Also, given the quick turnaround, consumers detected a bug which caused ongoing frustration. 
CP Advocacy: +.5
Collaboration: -3</t>
  </si>
  <si>
    <t xml:space="preserve">While you are not able to hit your revenue targets this year, the additional research provides you with a new business opportunity. Through conversations with Inside Sales you learn that SMBs such as architecture and graphic design firms would be able to use Table, specifically the stylus pen, thereby eliminating a step in their process from hand drawing to digitization. You present the full business case to the Engineering group, who is excited by the new customer segment and the additional revenue this could generate for their product in the long term.
CP Advocacy: +1.5
Collaboration: +3 
PC Revenue: +$6,000,000 
Customer Operating Margin: ++ </t>
  </si>
  <si>
    <t>Missing the Mark</t>
  </si>
  <si>
    <t xml:space="preserve">Regional Leadership Team, 
I just reviewed our revenue numbers for Table, and we are nowhere near our revenue target. I took the liberty of connecting with Bullseye, our top-selling retailer, to find out why sales have been so poor. It seems that many consumers are returning the Table after a few days because the keyboard is not working properly. As a result of this issue, Bullseye doesn’t feel comfortable promoting the Table.  
If we do not fix this problem, I forecast us to only deliver 83% of our revenue target. Remember, the Table is not only a big consumer focus for us – our goal is to expand this product in the commercial space, starting with small-medium businesses. What is your recommendation on how we should proceed?  
Thank You, 
Rubeus Haggle, VP Nimbolt Personal Computing
</t>
  </si>
  <si>
    <t xml:space="preserve">Dear Regional Leadership Team, 
My team has just learned that SmartProperties, the second-highest-performing IP Service Partner in the region, has intentionally slowed the sales of our Intelligent Cloud solutions with customers in the Financial Services industry. Instead, they are choosing to partner more closely with Bamazong due to their dedication in education on their BWS platform. Specifically, SmartProperties feels they have a better understanding of how to use the BWS cloud to target Financial Services customers. We have run some numbers, and our sales for these solutions in Financial Services are down 15 percent from one year ago. 
This decline is largely due to the struggle of SmartProperties team to communicate the value of our more expensive cloud solution. We’re working to rectify this, but it will be very difficult to catch up to Bamazong at this point. 
Oliver Neville, Nimbolt Business Development Lead
</t>
  </si>
  <si>
    <t>Unfortunately your partner education investment was not enough to entice SmartProperties to rethink its partnership with Bamazong. As a result, you are unable to retain and attact customers in the Financial Services industry. 
• IC Enterprise Revenue: -$4,000,000</t>
  </si>
  <si>
    <t>No Impact</t>
  </si>
  <si>
    <t>VideoTutorial1</t>
  </si>
  <si>
    <t>VideoTutorial2</t>
  </si>
  <si>
    <t>VideoTutorial3</t>
  </si>
  <si>
    <t>VideoTutorial4</t>
  </si>
  <si>
    <t>ClearAdjRange26</t>
  </si>
  <si>
    <t>ManualAdjProd1Seg1Consumption</t>
  </si>
  <si>
    <t>ManualAdjProd1Seg2Consumption</t>
  </si>
  <si>
    <t>ManualAdjProd1Seg3Consumption</t>
  </si>
  <si>
    <t>ManualAdjProd2Seg1Consumption</t>
  </si>
  <si>
    <t>ManualAdjProd2Seg2Consumption</t>
  </si>
  <si>
    <t>Balancing Guidelines</t>
  </si>
  <si>
    <t>Minimum</t>
  </si>
  <si>
    <t>1B</t>
  </si>
  <si>
    <t>3A</t>
  </si>
  <si>
    <t>3B</t>
  </si>
  <si>
    <t>btnLevelSelectedtlInputOps</t>
  </si>
  <si>
    <t>btnLevelSelectedtlInputEG</t>
  </si>
  <si>
    <t>btnLevelSelectedtlInputCommercial</t>
  </si>
  <si>
    <t>btnLevelSelectedtlInputConsumer</t>
  </si>
  <si>
    <t>tlInput Input Range</t>
  </si>
  <si>
    <t>tlInputInput</t>
  </si>
  <si>
    <t>tlInputErrorHandler</t>
  </si>
  <si>
    <t>tlInputCommercial</t>
  </si>
  <si>
    <t>tlInputCommercialPartnerDevelopment</t>
  </si>
  <si>
    <t>tlInputCommercialPartnerIncentives</t>
  </si>
  <si>
    <t>tlInputCommercialPartnerEducation</t>
  </si>
  <si>
    <t>tlInputEG</t>
  </si>
  <si>
    <t>tlInputEGSecurity</t>
  </si>
  <si>
    <t>tlInputEGScalability</t>
  </si>
  <si>
    <t>tlInputEGInteroperability</t>
  </si>
  <si>
    <t>tlInputEGDesign</t>
  </si>
  <si>
    <t>tlInputEGProd1Offering1</t>
  </si>
  <si>
    <t>tlInputEGProd1Offering2</t>
  </si>
  <si>
    <t>tlInputEGProd2Offering1</t>
  </si>
  <si>
    <t>tlInputEGProd2Offering2</t>
  </si>
  <si>
    <t>tlInputEGProd2Offering3</t>
  </si>
  <si>
    <t>tlInputEGProd3Offering1</t>
  </si>
  <si>
    <t>tlInputEGProd3Offering2</t>
  </si>
  <si>
    <t>tlInputEGProd3Offering3</t>
  </si>
  <si>
    <t>tlInputCommercialSkill1</t>
  </si>
  <si>
    <t>tlInputCommercialSkill2</t>
  </si>
  <si>
    <t>tlInputCommercialSkill3</t>
  </si>
  <si>
    <t>tlInputCommericalProd1Price</t>
  </si>
  <si>
    <t>tlInputCommericalProd2Price</t>
  </si>
  <si>
    <t>tlInputCommericalProd3Price</t>
  </si>
  <si>
    <t>tlInputConsumer</t>
  </si>
  <si>
    <t>tlInputConsumerProd1Price</t>
  </si>
  <si>
    <t>tlInputConsumerProd3Price</t>
  </si>
  <si>
    <t>tlInputConsumerPartnerDevelopment</t>
  </si>
  <si>
    <t>tlInputConsumerPartnerIncentives</t>
  </si>
  <si>
    <t>tlInputConsumerPartnerEducation</t>
  </si>
  <si>
    <t>tlInputConsumerSkill1</t>
  </si>
  <si>
    <t>tlInputConsumerSkill2</t>
  </si>
  <si>
    <t>TitlInpute</t>
  </si>
  <si>
    <t>tlInputWobbler1</t>
  </si>
  <si>
    <t xml:space="preserve">Over the last few years, we have built a strong relationship with Cola Co., and they have been pleased with the progress we have made on their Azul Infrastructure usage challenges. They continue to value the high quality of the Nimbolt products we deploy, as they focus on aggressively growing their consumer base.
Our main point of contact at Cola Co. recentlInputy reached out to let us know that M.I.B., one of Nimbolt’s largest competitors for data analytics, is aggressively pursuing Cola Co. to win their business. M.I.B. has offered to provide data analytics offerings for 20 percent less (no deployment costs) than what Nimbolt has historically offered.
Cola Co. is interested in Nimbolt’s data analytics products and wants to know if we can match M.I.B.'s offer. Cola Co. is a key account for us and having them as a customer is very important for our brand. Our ability to tell the Cola Co. story to other customers is a competitive advantage for us. If we don’t handle this situation right it could have wider ramifications.  Please advise, thank you.
Best,
Elena Jackson
Account Director, Accent Managed Services
</t>
  </si>
  <si>
    <t>tlInputWobbler2</t>
  </si>
  <si>
    <t>You've selected a PDC or PDC (Red Dot) for your Systems Completions Manager. As a result, the report reads:
Every component of the facility was checked and validated that it was built and installed correctlInputy and functioning properly. Systems and equipment have been tested to ensure they perform as expected. While minor defects were reported, they have since been repaired, rechecked and repeated for all cases to ensure the highest levels of quality. By properly managing systems completion through strategic staffing decisions, you have significantlInputy reduced risk, shortened time to production and greatlInputy increased the operability of the facility</t>
  </si>
  <si>
    <t>xxPopupWobblerTitlInpute</t>
  </si>
  <si>
    <t>tlInputWobbler3</t>
  </si>
  <si>
    <t>tlInputWobbler4</t>
  </si>
  <si>
    <t>tlInputWobbler5</t>
  </si>
  <si>
    <t>tlInputWobbler6</t>
  </si>
  <si>
    <t>tlInputWobbler7</t>
  </si>
  <si>
    <t>tlInputWobbler8</t>
  </si>
  <si>
    <t>Total Investment</t>
  </si>
  <si>
    <t>ETUs Required</t>
  </si>
  <si>
    <t>Cost</t>
  </si>
  <si>
    <t>Recommended Utilization</t>
  </si>
  <si>
    <t>FTEs Required</t>
  </si>
  <si>
    <t>Budget Required</t>
  </si>
  <si>
    <t>Value to Change (tlInput input range)</t>
  </si>
  <si>
    <t>tlInputCultureCreateClarity</t>
  </si>
  <si>
    <t>tlInputCultureGenerateEnergy</t>
  </si>
  <si>
    <t>tlInputCultureDeliverSuccess</t>
  </si>
  <si>
    <t>tlInputCommercialProd1Seg1Share</t>
  </si>
  <si>
    <t>tlInputCommercialProd1Seg2Share</t>
  </si>
  <si>
    <t>tlInputConsumerProd1Seg3Share</t>
  </si>
  <si>
    <t>tlInputCommercialProd2Seg1Share</t>
  </si>
  <si>
    <t>tlInputCommercialProd2Seg2Share</t>
  </si>
  <si>
    <t>tlInputCommercialProd3Seg1Share</t>
  </si>
  <si>
    <t>tlInputCommercialProd3Seg2Share</t>
  </si>
  <si>
    <t>tlInputConsumerProd3Seg3Share</t>
  </si>
  <si>
    <t>tlInputOpsTotalMarketingBudget</t>
  </si>
  <si>
    <t>tlInputOpsCommercialMarketingBudget</t>
  </si>
  <si>
    <t>tlInputOpsHeadcount</t>
  </si>
  <si>
    <t>tlInputOpsCollabFTEs</t>
  </si>
  <si>
    <t>tlInputOpsServicesCollabFTEs</t>
  </si>
  <si>
    <t>tlInputOpsEngineeringCollabFTEs</t>
  </si>
  <si>
    <t>tlInputOpsITFTEs</t>
  </si>
  <si>
    <t>tlInputOpsFinanceFTEs</t>
  </si>
  <si>
    <t>tlInputOpsSupplyChainFTEs</t>
  </si>
  <si>
    <t>tlInputOpsDataCenter</t>
  </si>
  <si>
    <t>tlInputCommercialCloudMigration</t>
  </si>
  <si>
    <t>tlInputCommercialDirectSalesFTEs</t>
  </si>
  <si>
    <t>tlInputCommercialInsideSalesFTEs</t>
  </si>
  <si>
    <t>tlInputCommercialServicesFTEs</t>
  </si>
  <si>
    <t>tlInputOpsCommercialProd1Marketing</t>
  </si>
  <si>
    <t>tlInputOpsCommercialProd2Marketing</t>
  </si>
  <si>
    <t>tlInputCommercialPartner1Pct</t>
  </si>
  <si>
    <t>tlInputCommercialPartner2Pct</t>
  </si>
  <si>
    <t>tlInputCommercialPartner3Pct</t>
  </si>
  <si>
    <t>tlInputCommercialPartner4Pct</t>
  </si>
  <si>
    <t>tlInputCommercialPartner5Pct</t>
  </si>
  <si>
    <t>tlInputConsumerDirectSalesFTEs</t>
  </si>
  <si>
    <t>tlInputConsumerInsideSalesFTEs</t>
  </si>
  <si>
    <t>tlInputConsumerServicesFTEs</t>
  </si>
  <si>
    <t>tlInputOpsConsumerProd1Marketing</t>
  </si>
  <si>
    <t>tlInputConsumerPartner4Pct</t>
  </si>
  <si>
    <t>tlInputConsumerPartner5Pct</t>
  </si>
  <si>
    <t>tlInputIntro</t>
  </si>
  <si>
    <t>tlInput</t>
  </si>
  <si>
    <t>ImportExportCSV_BalSheetClosing</t>
  </si>
  <si>
    <t>Closing balance sheet location</t>
  </si>
  <si>
    <t>ImportExportCSV_BalSheetOpening</t>
  </si>
  <si>
    <t>Opening balance sheet location</t>
  </si>
  <si>
    <t>ImportExportCSV_BalSheetOnObal</t>
  </si>
  <si>
    <t>Balance sheet on obal?</t>
  </si>
  <si>
    <t>ImportCSVDecisions</t>
  </si>
  <si>
    <t>ExportCSVBalances</t>
  </si>
  <si>
    <t>obal</t>
  </si>
  <si>
    <t>cbal</t>
  </si>
  <si>
    <t>tlInputOps</t>
  </si>
  <si>
    <t>Columns to Delete</t>
  </si>
  <si>
    <t>F:N</t>
  </si>
  <si>
    <t>AnalysisR1</t>
  </si>
  <si>
    <t>AnalysisR2</t>
  </si>
  <si>
    <t>DecSummaryUG</t>
  </si>
  <si>
    <t>Sheets to Delete Columns in</t>
  </si>
  <si>
    <t>dec</t>
  </si>
  <si>
    <t>calcFTEsExpenses</t>
  </si>
  <si>
    <t>calcEndingLevels</t>
  </si>
  <si>
    <t>calcSubscriptions</t>
  </si>
  <si>
    <t>calcService</t>
  </si>
  <si>
    <t>calcUnits</t>
  </si>
  <si>
    <t>calcConsumption</t>
  </si>
  <si>
    <t>calcCollabIntReadiness</t>
  </si>
  <si>
    <t>calcCLV</t>
  </si>
  <si>
    <t>Sheet 21</t>
  </si>
  <si>
    <t>Sheet 22</t>
  </si>
  <si>
    <t>Sheet 23</t>
  </si>
  <si>
    <t>Sheet 24</t>
  </si>
  <si>
    <t xml:space="preserve">                                                                             </t>
  </si>
  <si>
    <t>mmProd1Seg1</t>
  </si>
  <si>
    <t>mmProd1Seg2</t>
  </si>
  <si>
    <t>mmProd1Seg3</t>
  </si>
  <si>
    <t>mmProd2Seg1</t>
  </si>
  <si>
    <t>mmProd2Seg2</t>
  </si>
  <si>
    <t>mmProd3Seg1</t>
  </si>
  <si>
    <t>mmProd3Seg2</t>
  </si>
  <si>
    <t>mmProd3Seg3</t>
  </si>
  <si>
    <t>Market Data</t>
  </si>
  <si>
    <t>CalibrateRenRate</t>
  </si>
  <si>
    <t>calcRenRateProd1Seg1RenewalRateAdj</t>
  </si>
  <si>
    <t>calcRenRateProd1Seg1RenewalRateEnd</t>
  </si>
  <si>
    <t>calcRenRateProd1Seg2RenewalRateAdj</t>
  </si>
  <si>
    <t>calcRenRateProd1Seg2RenewalRateEnd</t>
  </si>
  <si>
    <t>calcRenRateProd1Seg3RenewalRateAdj</t>
  </si>
  <si>
    <t>calcRenRateProd1Seg3RenewalRateEnd</t>
  </si>
  <si>
    <t>calcRenRateProd2Seg1RenewalRateAdj</t>
  </si>
  <si>
    <t>calcRenRateProd2Seg1RenewalRateEnd</t>
  </si>
  <si>
    <t>calcRenRateProd2Seg2RenewalRateAdj</t>
  </si>
  <si>
    <t>calcRenRateProd2Seg2RenewalRateEnd</t>
  </si>
  <si>
    <t>Teams in Market</t>
  </si>
  <si>
    <t>mmSubTeamsinMarket</t>
  </si>
  <si>
    <t xml:space="preserve">   </t>
  </si>
  <si>
    <t>Tool Setup</t>
  </si>
  <si>
    <t>ToolSetupSheetsDelete</t>
  </si>
  <si>
    <t>ToolSetupColumnsDelete</t>
  </si>
  <si>
    <t>ToolSetupColumnsDeleteSheets</t>
  </si>
  <si>
    <t>Channels</t>
  </si>
  <si>
    <t>Systems Integrators</t>
  </si>
  <si>
    <t>Software Engineering</t>
  </si>
  <si>
    <t>Global Demand Center</t>
  </si>
  <si>
    <t>decOpsGlobalDemandCenterFTEs</t>
  </si>
  <si>
    <t>tlInputOpsGlobalDemandCenterFTEs</t>
  </si>
  <si>
    <t>btnPlusMinusIncr139</t>
  </si>
  <si>
    <t>btnPlusMinusMax139</t>
  </si>
  <si>
    <t>btnPlusMinusMin139</t>
  </si>
  <si>
    <t>btnPlusMinusDec139</t>
  </si>
  <si>
    <t>DataValidation_Types</t>
  </si>
  <si>
    <t>DataValidation_Names</t>
  </si>
  <si>
    <t>Validation Inputs</t>
  </si>
  <si>
    <t>Validation Type</t>
  </si>
  <si>
    <t>Input Range</t>
  </si>
  <si>
    <t>**Link from dec_ToolInputPrefix</t>
  </si>
  <si>
    <t>DataValidation_Pre</t>
  </si>
  <si>
    <t>Input Cell Prefix</t>
  </si>
  <si>
    <t>DataValidation</t>
  </si>
  <si>
    <t>tlInputOpsCommercialProd3Marketing</t>
  </si>
  <si>
    <t>tlInputOpsCommericalProd2Marketing</t>
  </si>
  <si>
    <t>tlInputOpsConsumerProd3Marketing</t>
  </si>
  <si>
    <t>List</t>
  </si>
  <si>
    <t>datalist0to5</t>
  </si>
  <si>
    <t>dataList0to5</t>
  </si>
  <si>
    <t>Data Validation Lists</t>
  </si>
  <si>
    <t>dataListWobbler1</t>
  </si>
  <si>
    <t>dataListWobbler2</t>
  </si>
  <si>
    <t>dataListWobbler3</t>
  </si>
  <si>
    <t>2C</t>
  </si>
  <si>
    <t>dataListPricing</t>
  </si>
  <si>
    <t>dataList0to100Pct</t>
  </si>
  <si>
    <t>dataList0to50Pct</t>
  </si>
  <si>
    <t>dataList0to15Pct</t>
  </si>
  <si>
    <t>dataList0to500</t>
  </si>
  <si>
    <t>dataList0to100</t>
  </si>
  <si>
    <t>dataListTotalMarketing</t>
  </si>
  <si>
    <t>dataListDataCenter</t>
  </si>
  <si>
    <t>TestAuto_OutputMetrics</t>
  </si>
  <si>
    <t>Rev</t>
  </si>
  <si>
    <t>Metric Named Range</t>
  </si>
  <si>
    <t>Metric Name</t>
  </si>
  <si>
    <t>Output Metrics to Capture</t>
  </si>
  <si>
    <t>Set Up Named Ranges in DataValidation Module</t>
  </si>
  <si>
    <t>Set Up / Inputs</t>
  </si>
  <si>
    <t>Run Tests</t>
  </si>
  <si>
    <r>
      <t xml:space="preserve">**DataValidation Module </t>
    </r>
    <r>
      <rPr>
        <i/>
        <u/>
        <sz val="11"/>
        <color rgb="FFFF0000"/>
        <rFont val="Verdana"/>
        <family val="2"/>
      </rPr>
      <t>required</t>
    </r>
    <r>
      <rPr>
        <i/>
        <sz val="11"/>
        <color rgb="FFFF0000"/>
        <rFont val="Verdana"/>
        <family val="2"/>
      </rPr>
      <t xml:space="preserve"> for use</t>
    </r>
  </si>
  <si>
    <t>Testing Automation Module</t>
  </si>
  <si>
    <t>Avg. Renewal Rate</t>
  </si>
  <si>
    <t>Financial:</t>
  </si>
  <si>
    <t>Cloud:</t>
  </si>
  <si>
    <t>KPIs:</t>
  </si>
  <si>
    <t>tlInputWobblerCurrentTime</t>
  </si>
  <si>
    <t>nmSolutionArea1</t>
  </si>
  <si>
    <t>nmSolutionArea2</t>
  </si>
  <si>
    <t>nmSolutionArea3</t>
  </si>
  <si>
    <t>Modern Workplace</t>
  </si>
  <si>
    <t>Business Applications</t>
  </si>
  <si>
    <t>Applications &amp; Infrastructure/Data &amp; AI</t>
  </si>
  <si>
    <t>calcOpsGlobalDemandCenterFTEs</t>
  </si>
  <si>
    <t>calcOpsGlobalDemandCenterSalary</t>
  </si>
  <si>
    <t>Global Demand Center Salary</t>
  </si>
  <si>
    <t>obalOpsGlobalDemandCenterFTEs</t>
  </si>
  <si>
    <t>cbalOpsGlobalDemandCenterFTEs</t>
  </si>
  <si>
    <t>Global Demand Center FTEs</t>
  </si>
  <si>
    <t>Software Engineering FTEs</t>
  </si>
  <si>
    <t>calcGlobalDemandCenterKicker</t>
  </si>
  <si>
    <t>Impact of Collaboration on Engineering Decisions</t>
  </si>
  <si>
    <t>Impact of Global Demand Center on SMC Sales Effectiveness</t>
  </si>
  <si>
    <t>SMC</t>
  </si>
  <si>
    <t>Expertise Development</t>
  </si>
  <si>
    <t>Expertise Analysis</t>
  </si>
  <si>
    <t>Sales &amp; Services</t>
  </si>
  <si>
    <t>Employee Engagement</t>
  </si>
  <si>
    <t>ISV</t>
  </si>
  <si>
    <t>ChallengeProd2Seg1Consumption</t>
  </si>
  <si>
    <t>Azul Data, Applications, and AI</t>
  </si>
  <si>
    <t>Azul Infrastructure</t>
  </si>
  <si>
    <t>An investment in the security of Nimbolt’s products across its three ambitions. This protects customer data from potential hacks.</t>
  </si>
  <si>
    <t>An investment in the interoperability of Nimbolt’s products across its own portfolio as well as competitor software and hardware. This makes it easier for customers to incorporate Nimbolt products into their already existing software and hardware.</t>
  </si>
  <si>
    <t>An investment in the scalability of Nimbolt’s products across its portfolio. More scalable products make it easier for customers to implement solutions and expand the number of users quickly and effectively.</t>
  </si>
  <si>
    <t xml:space="preserve">An investment in Nimbolt’s Workplace 365 offering, including developing new features and making the design more intuitive.
</t>
  </si>
  <si>
    <t>An investment in Nimbolt’s Dynamo offering, including developing new features and making the design more intuitive.</t>
  </si>
  <si>
    <t>An investment in Nimbolt’s Azul Infrastructure, which will make it easier and more efficient for customers to access their data from the cloud.</t>
  </si>
  <si>
    <t>An investment developing Nimbolt's applications that are available on the Azul cloud, including data and AI Platforms. In addtion to creating new applications, it also improves the functionality, features, and design of current offerings.</t>
  </si>
  <si>
    <t>An investment in Nimbolt’s Doors OS, including developing new features and making the design more intuitive.</t>
  </si>
  <si>
    <t>An investment in Nimbolt’s Devices, including developing new features and making the design more intuitive.</t>
  </si>
  <si>
    <t>The number of FTEs dedicated to the Software Engineering function. The Software Engineering develops internal tools to boost productivity. They also orchestrate communication between the engineering and sales groups, ensuring that offerings solve customer needs/</t>
  </si>
  <si>
    <t xml:space="preserve">The number of FTEs dedicated to the Supply Chain function. The Supply Chain function makes sure that all hardware (devices/servers) arrives to the customer on time. </t>
  </si>
  <si>
    <t>The number of FTEs dedicated to driving a culture of collaboration across the sales, services, engineering, and operations organizations. Collaboration ensures that there is open communication between all of these groups. Increased investment in collaboration helps Nimbolt better serve customers as well as function better internally.</t>
  </si>
  <si>
    <t>The number of data centers that you will invest in building this round. Use information on your company’s utilization and the recommended utilization (30%) to help you decide whether investing in another data center is necessary.</t>
  </si>
  <si>
    <t>The amount of money you and the Nimbolt leadership team will allocate to marketing this round. Marketing budget is used to engage clients through sales enablement, specialized selling events, digital marketing efforts.</t>
  </si>
  <si>
    <t>The percentage of the total marketing budget you would like to use to target commercial versus consumer customers.</t>
  </si>
  <si>
    <t>The percentage of the commercial and consumer budgets you would like to allocate to marketing each of the ambitions – Productivity &amp; Business, Intelligent Cloud, and Personal Computing.</t>
  </si>
  <si>
    <t>Set your pricing strategy for each of your ambitions. You can decide whether you would like to significantly decrease, decrease, maintain, increase, or significantly increase your price from the previous round.</t>
  </si>
  <si>
    <t>Forecast the share of new subscribers/devices you think that you will be able to capture this round. You should make this decision based on how you think your value proposition will stack up against competitors. Forecasts should be confident, but realistic as they will impact how many data centers you will need.</t>
  </si>
  <si>
    <t>Develop your direct and inside sales force as well as your services employees’ technical expertise, including the ability to talk to customers about the technical specifications and deployment plans for solutions across the portfolio.</t>
  </si>
  <si>
    <t>Develop your direct and inside sales force as well as your services employees’ consultative skills, including the ability to ask insightful questions and identify solutions to solve customer problems.</t>
  </si>
  <si>
    <t>Develop your direct and inside sales force as well as your services employees’ industry expertise, including their ability to talk to customers about industry specific business models, metrics, and trends.</t>
  </si>
  <si>
    <t xml:space="preserve">The number of FTEs allocated to direct sales with customers. Direct Sales FTEs have face-to-face meetings with new and current customers to try to increase the number of subscriptions and devices. For enterprise customers, direct sales are conducted by a cross-functional team of Account Team Units, Customer Sucess Units, and Specialist Team Units. </t>
  </si>
  <si>
    <t xml:space="preserve">The number of FTEs allocated to the services organization. Services FTEs help customers deploy Nimbolt solutions and help users understand how to use the solutions more effectively.  For enterprise customers, additional services are provided by a cross-functional team of Account Team Units, Customer Sucess Units, and Specialist Team Units. </t>
  </si>
  <si>
    <t>The amount of time and budget you spend building relationships with current partners and developing relationships with new partners. You will be able to serve more customers as you build out a broader partner network.</t>
  </si>
  <si>
    <t>The amount of time and budget you spend with partners to come up with a mutually beneficial incentive structure. As Nimbolt moves more to the cloud, it is important that you work with partners to come up with incentives that help support the shift to the cloud.</t>
  </si>
  <si>
    <t>The amount of time and budget you spend with partners helping them to understand how to work with Nimbolt’s offerings more effectively. As you focus more on partner education, partners learn more about the technical aspects of Nimbolt’s offerings as well as how to tell the cloud story to customers transitioning to the cloud.</t>
  </si>
  <si>
    <r>
      <t xml:space="preserve">The percentage of the total time and budget spent with partners that you would like to allocate to each of Nimbolt’s partners. Preferred partners vary depending on who the customer is and what ambition they are looking to buy and deploy.
</t>
    </r>
    <r>
      <rPr>
        <u/>
        <sz val="11"/>
        <color theme="1"/>
        <rFont val="Verdana"/>
        <family val="2"/>
      </rPr>
      <t>Partner Descriptions</t>
    </r>
    <r>
      <rPr>
        <sz val="11"/>
        <color theme="1"/>
        <rFont val="Verdana"/>
        <family val="2"/>
      </rPr>
      <t xml:space="preserve">
ISVs: Build additional applications on the Azure platform that customers can utilize.
Systems Integrators: Shape and deploy Nimbolt technology with customers.
Managed Services: Manage customers complex IT systems
Channels: Expand the scale and reach of Nimbolt products through directly selling Nimbolt offerings or putting them on other hardware
</t>
    </r>
  </si>
  <si>
    <t>The number of FTEs allocated to direct sales with customers. Direct Sales FTEs have face-to-face meetings with new and current customers to try to increase the number of subscriptions and devices.</t>
  </si>
  <si>
    <t>The number of FTEs allocated to the services organization. Services FTEs help customers deploy Nimbolt solutions and help users understand how to use the solutions more effectively</t>
  </si>
  <si>
    <r>
      <t xml:space="preserve">The percentage of the total time and budget spent with partners that you would like to allocate to each of Nimbolt’s partners. Preferred partners vary depending on who the customer is and what ambition they are looking to buy and deploy.
</t>
    </r>
    <r>
      <rPr>
        <u/>
        <sz val="11"/>
        <color theme="1"/>
        <rFont val="Verdana"/>
        <family val="2"/>
      </rPr>
      <t>Partner Descriptions</t>
    </r>
    <r>
      <rPr>
        <sz val="11"/>
        <color theme="1"/>
        <rFont val="Verdana"/>
        <family val="2"/>
      </rPr>
      <t xml:space="preserve">
Developers: Create software applications on Nimbolt's Doors OS
OEM: Incorporate Nimbolt technology onto their existing hardware to help make Doors OS more widely adopted.
Retailers: Sell Nimbolt technology through retail stores.
</t>
    </r>
  </si>
  <si>
    <t>The number of FTEs dedicated to the Global Demand Center. The Global Demand Center conducts pre-sales activities such as building relationships and generates sales leads at for the Small Medium Corporate customer segment.</t>
  </si>
  <si>
    <t xml:space="preserve">The number of FTEs allocated to inside sales with customers. Inside Sales FTEs sells directly to SMC customers and has conversations with customers via phone, email, and chat to help existing customers use Nimbolt products more effectively.  For enterprise customers, inside sales are conducted by a cross-functional team of Account Team Units, Customer Sucess Units, and Specialist Team Units. </t>
  </si>
  <si>
    <t>The number of FTEs allocated to inside sales with customers. Inside Sales FTEs have conversations with consumers via phone, email, and chat to help existing customers use Nimbolt products more effectively.</t>
  </si>
  <si>
    <t>decTeamNumber</t>
  </si>
  <si>
    <t>decRound</t>
  </si>
  <si>
    <t>decOpsCommercialProd3Marketing</t>
  </si>
  <si>
    <t>decOpsConsumerMarketingBudget</t>
  </si>
  <si>
    <t>decOpsConsumerProd3Marketing</t>
  </si>
  <si>
    <t>decCommercialProd1Price</t>
  </si>
  <si>
    <t>decCommercialProd2Price</t>
  </si>
  <si>
    <t>decCommercialProd3Price</t>
  </si>
  <si>
    <t>decCommercialPartner4Pct</t>
  </si>
  <si>
    <t>decCommercialCloudMigration</t>
  </si>
  <si>
    <t>decConsumerProd1Price</t>
  </si>
  <si>
    <t>decConsumerProd3Price</t>
  </si>
  <si>
    <t>decWobbler1</t>
  </si>
  <si>
    <t>decWobbler2</t>
  </si>
  <si>
    <t>decWobbler3</t>
  </si>
  <si>
    <t>decWobbler4</t>
  </si>
  <si>
    <t>decConsumerPartner6Pct</t>
  </si>
  <si>
    <t>Your One Commercial Partner Channels partner prioritization needs to be greater than or equal to 0%</t>
  </si>
  <si>
    <t>Your Consumer developer partner prioritization needs to be greater than or equal to 0%</t>
  </si>
  <si>
    <t>Your Commercial Personal Computing Marketing allocation must be greater or equal to 0%</t>
  </si>
  <si>
    <t>Your Consumer Personal Computing Marketing allocation must be greater than or equal to 0%</t>
  </si>
  <si>
    <t>tlInputCommercialProd1Price</t>
  </si>
  <si>
    <t>tlInputCommercialProd2Price</t>
  </si>
  <si>
    <t>tlInputCommercialProd3Price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</si>
</sst>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4">
    <numFmt numFmtId="5" formatCode="&quot;$&quot;#,##0_);\(&quot;$&quot;#,##0\)"/>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0.00\ &quot;mk&quot;;[Red]\-#,##0.00\ &quot;mk&quot;"/>
    <numFmt numFmtId="167" formatCode="\ #,##0_);\ \(#,##0\);_(* &quot;-&quot;??_);_(@_)"/>
    <numFmt numFmtId="168" formatCode="#,##0.0_);\(#,##0.0\)"/>
    <numFmt numFmtId="169" formatCode="#,##0,_);\ \(#,##0,\);_(* &quot;-&quot;_);_(@_)"/>
    <numFmt numFmtId="170" formatCode="#,###.##,,_);\ \(#,##0,,\);_(* &quot;-&quot;_);_(@_)"/>
    <numFmt numFmtId="171" formatCode="#,##0,,_);\ \(#,##0,,\);_(* &quot;-&quot;_);_(@_)"/>
    <numFmt numFmtId="172" formatCode="_(* #,##0.0_);_(* \(#,##0.0\);_(* &quot;-&quot;?_);_(@_)"/>
    <numFmt numFmtId="173" formatCode="0%\ \ "/>
    <numFmt numFmtId="174" formatCode="_(&quot;$&quot;\ #,##0,_);_(&quot;$&quot;\ \ \(#,##0,\);_(&quot;$&quot;\ &quot;-&quot;_);_(@_)"/>
    <numFmt numFmtId="175" formatCode="mmm\ dd\ &quot;Year&quot;\ yy"/>
    <numFmt numFmtId="176" formatCode="_([$€-2]* #,##0.00_);_([$€-2]* \(#,##0.00\);_([$€-2]* &quot;-&quot;??_)"/>
    <numFmt numFmtId="177" formatCode="#,###,;\(#,###,\);_(* &quot;-&quot;_);_(@_)"/>
    <numFmt numFmtId="178" formatCode="0.00_)"/>
    <numFmt numFmtId="179" formatCode="0.0%"/>
    <numFmt numFmtId="180" formatCode="0.0"/>
    <numFmt numFmtId="181" formatCode="0.00%;\-0.00%;&quot;-&quot;"/>
    <numFmt numFmtId="182" formatCode="\+0;\-0;0"/>
    <numFmt numFmtId="183" formatCode="_(* #,##0_);_(* \(#,##0\);_(* &quot;-&quot;??_);_(@_)"/>
    <numFmt numFmtId="184" formatCode="&quot;+1&quot;;&quot;-1&quot;"/>
    <numFmt numFmtId="185" formatCode="#,##0.0"/>
    <numFmt numFmtId="186" formatCode="[$-409]h:mm\ AM/PM;@"/>
    <numFmt numFmtId="187" formatCode="h:mm;@"/>
    <numFmt numFmtId="188" formatCode="#,##0;\-#,##0;&quot;-&quot;"/>
    <numFmt numFmtId="189" formatCode="0.00000"/>
    <numFmt numFmtId="190" formatCode="0.0000"/>
    <numFmt numFmtId="191" formatCode="&quot;$&quot;#,##0.0_);[Red]\(&quot;$&quot;#,##0.0\)"/>
  </numFmts>
  <fonts count="153">
    <font>
      <sz val="11"/>
      <color theme="1"/>
      <name val="Verdana"/>
      <family val="2"/>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1"/>
      <name val="Segoe UI Semilight"/>
      <family val="2"/>
      <scheme val="minor"/>
    </font>
    <font>
      <sz val="11"/>
      <color theme="0"/>
      <name val="Verdana"/>
      <family val="2"/>
    </font>
    <font>
      <sz val="14"/>
      <color theme="0"/>
      <name val="Verdana"/>
      <family val="2"/>
    </font>
    <font>
      <sz val="12"/>
      <color theme="0"/>
      <name val="Verdana"/>
      <family val="2"/>
    </font>
    <font>
      <sz val="14"/>
      <color theme="1"/>
      <name val="Verdana"/>
      <family val="2"/>
    </font>
    <font>
      <sz val="9"/>
      <color theme="0"/>
      <name val="Verdana"/>
      <family val="2"/>
    </font>
    <font>
      <b/>
      <sz val="11"/>
      <color theme="1"/>
      <name val="Verdana"/>
      <family val="2"/>
    </font>
    <font>
      <sz val="11"/>
      <color theme="1"/>
      <name val="Segoe UI Semilight"/>
      <family val="2"/>
      <scheme val="minor"/>
    </font>
    <font>
      <sz val="12"/>
      <name val="Segoe UI Semilight"/>
      <family val="2"/>
      <scheme val="minor"/>
    </font>
    <font>
      <b/>
      <sz val="12"/>
      <name val="Segoe UI Semilight"/>
      <family val="2"/>
      <scheme val="minor"/>
    </font>
    <font>
      <sz val="10"/>
      <name val="MS Sans Serif"/>
      <family val="2"/>
    </font>
    <font>
      <sz val="8"/>
      <name val="Arial"/>
      <family val="2"/>
    </font>
    <font>
      <sz val="10"/>
      <name val="Arial Black"/>
      <family val="2"/>
    </font>
    <font>
      <b/>
      <sz val="9"/>
      <name val="Arial"/>
      <family val="2"/>
    </font>
    <font>
      <b/>
      <sz val="8"/>
      <name val="Arial"/>
      <family val="2"/>
    </font>
    <font>
      <sz val="10"/>
      <name val="Arial"/>
      <family val="2"/>
    </font>
    <font>
      <b/>
      <sz val="10"/>
      <name val="Arial"/>
      <family val="2"/>
    </font>
    <font>
      <b/>
      <sz val="12"/>
      <name val="Arial"/>
      <family val="2"/>
    </font>
    <font>
      <b/>
      <sz val="10"/>
      <color indexed="9"/>
      <name val="Arial"/>
      <family val="2"/>
    </font>
    <font>
      <sz val="10"/>
      <name val="Helv"/>
    </font>
    <font>
      <sz val="9"/>
      <name val="Arial Rounded MT Bold"/>
      <family val="2"/>
    </font>
    <font>
      <b/>
      <sz val="10"/>
      <name val="Helv"/>
    </font>
    <font>
      <b/>
      <sz val="18"/>
      <name val="Garamond"/>
      <family val="1"/>
    </font>
    <font>
      <sz val="7"/>
      <name val="Small Fonts"/>
      <family val="2"/>
    </font>
    <font>
      <b/>
      <i/>
      <sz val="16"/>
      <name val="Helv"/>
    </font>
    <font>
      <sz val="12"/>
      <color theme="1"/>
      <name val="Open Sans"/>
      <family val="2"/>
    </font>
    <font>
      <b/>
      <sz val="12"/>
      <name val="Garamond"/>
      <family val="1"/>
    </font>
    <font>
      <sz val="12"/>
      <color theme="1"/>
      <name val="Verdana"/>
      <family val="2"/>
    </font>
    <font>
      <b/>
      <sz val="12"/>
      <color theme="1"/>
      <name val="Verdana"/>
      <family val="2"/>
    </font>
    <font>
      <sz val="12"/>
      <color theme="0" tint="-0.34998626667073579"/>
      <name val="Verdana"/>
      <family val="2"/>
    </font>
    <font>
      <i/>
      <sz val="11"/>
      <color theme="1"/>
      <name val="Verdana"/>
      <family val="2"/>
    </font>
    <font>
      <sz val="11"/>
      <color theme="1"/>
      <name val="Verdana"/>
      <family val="2"/>
    </font>
    <font>
      <b/>
      <sz val="11"/>
      <name val="Verdana"/>
      <family val="2"/>
    </font>
    <font>
      <b/>
      <sz val="12"/>
      <color theme="0"/>
      <name val="Verdana"/>
      <family val="2"/>
    </font>
    <font>
      <sz val="16"/>
      <color theme="0"/>
      <name val="Segoe UI Semilight"/>
      <family val="2"/>
      <scheme val="minor"/>
    </font>
    <font>
      <sz val="16"/>
      <name val="Segoe UI Semilight"/>
      <family val="2"/>
      <scheme val="minor"/>
    </font>
    <font>
      <sz val="11"/>
      <name val="Verdana"/>
      <family val="2"/>
    </font>
    <font>
      <sz val="12"/>
      <color theme="1"/>
      <name val="Segoe UI Semilight"/>
      <family val="2"/>
      <scheme val="minor"/>
    </font>
    <font>
      <sz val="10"/>
      <color theme="1"/>
      <name val="Verdana"/>
      <family val="2"/>
    </font>
    <font>
      <sz val="10"/>
      <name val="Verdana"/>
      <family val="2"/>
    </font>
    <font>
      <i/>
      <sz val="10"/>
      <color theme="1"/>
      <name val="Verdana"/>
      <family val="2"/>
    </font>
    <font>
      <b/>
      <sz val="11"/>
      <color theme="0"/>
      <name val="Verdana"/>
      <family val="2"/>
    </font>
    <font>
      <b/>
      <sz val="10"/>
      <color theme="1"/>
      <name val="Verdana"/>
      <family val="2"/>
    </font>
    <font>
      <u/>
      <sz val="11"/>
      <color theme="10"/>
      <name val="Segoe UI Semilight"/>
      <family val="2"/>
      <scheme val="minor"/>
    </font>
    <font>
      <sz val="11"/>
      <color rgb="FF000000"/>
      <name val="Verdana"/>
      <family val="2"/>
    </font>
    <font>
      <sz val="14"/>
      <color rgb="FF222222"/>
      <name val="Arial"/>
      <family val="2"/>
    </font>
    <font>
      <sz val="11"/>
      <color theme="1"/>
      <name val="Segoe UI Light"/>
      <family val="2"/>
      <scheme val="major"/>
    </font>
    <font>
      <sz val="12"/>
      <color theme="1"/>
      <name val="Segoe UI Light"/>
      <family val="2"/>
      <scheme val="major"/>
    </font>
    <font>
      <sz val="14"/>
      <color theme="0"/>
      <name val="Segoe UI Light"/>
      <family val="2"/>
      <scheme val="major"/>
    </font>
    <font>
      <sz val="14"/>
      <color theme="1"/>
      <name val="Segoe UI Light"/>
      <family val="2"/>
      <scheme val="major"/>
    </font>
    <font>
      <sz val="16"/>
      <color theme="1"/>
      <name val="Segoe UI Light"/>
      <family val="2"/>
      <scheme val="major"/>
    </font>
    <font>
      <sz val="18"/>
      <color theme="1"/>
      <name val="Segoe UI Light"/>
      <family val="2"/>
      <scheme val="major"/>
    </font>
    <font>
      <u/>
      <sz val="11"/>
      <color theme="10"/>
      <name val="Verdana"/>
      <family val="2"/>
    </font>
    <font>
      <b/>
      <sz val="16"/>
      <color theme="1"/>
      <name val="Segoe UI Light"/>
      <family val="2"/>
      <scheme val="major"/>
    </font>
    <font>
      <b/>
      <sz val="18"/>
      <color theme="1"/>
      <name val="Segoe UI Light"/>
      <family val="2"/>
      <scheme val="major"/>
    </font>
    <font>
      <i/>
      <sz val="14"/>
      <color theme="1"/>
      <name val="Segoe UI Light"/>
      <family val="2"/>
      <scheme val="major"/>
    </font>
    <font>
      <sz val="8"/>
      <color theme="1"/>
      <name val="Arial"/>
      <family val="2"/>
    </font>
    <font>
      <i/>
      <sz val="11"/>
      <name val="Verdana"/>
      <family val="2"/>
    </font>
    <font>
      <i/>
      <sz val="11"/>
      <color theme="0"/>
      <name val="Verdana"/>
      <family val="2"/>
    </font>
    <font>
      <sz val="28"/>
      <color theme="0"/>
      <name val="Segoe UI Semilight"/>
      <family val="2"/>
      <scheme val="minor"/>
    </font>
    <font>
      <sz val="18"/>
      <color theme="7"/>
      <name val="Segoe UI Semilight"/>
      <family val="2"/>
      <scheme val="minor"/>
    </font>
    <font>
      <sz val="16"/>
      <color theme="1"/>
      <name val="Segoe UI Semilight"/>
      <family val="2"/>
      <scheme val="minor"/>
    </font>
    <font>
      <sz val="18"/>
      <color theme="1"/>
      <name val="Segoe UI Semilight"/>
      <family val="2"/>
      <scheme val="minor"/>
    </font>
    <font>
      <sz val="18"/>
      <color theme="7"/>
      <name val="Segoe UI Light"/>
      <family val="2"/>
      <scheme val="major"/>
    </font>
    <font>
      <b/>
      <sz val="24"/>
      <color theme="4"/>
      <name val="Segoe UI Light"/>
      <family val="2"/>
      <scheme val="major"/>
    </font>
    <font>
      <i/>
      <sz val="16"/>
      <color theme="1"/>
      <name val="Segoe UI Light"/>
      <family val="2"/>
      <scheme val="major"/>
    </font>
    <font>
      <b/>
      <sz val="16"/>
      <color theme="4"/>
      <name val="Segoe UI Light"/>
      <family val="2"/>
      <scheme val="major"/>
    </font>
    <font>
      <b/>
      <sz val="24"/>
      <color theme="2"/>
      <name val="Segoe UI Light"/>
      <family val="2"/>
      <scheme val="major"/>
    </font>
    <font>
      <sz val="16"/>
      <color rgb="FF222222"/>
      <name val="Arial"/>
      <family val="2"/>
    </font>
    <font>
      <sz val="16"/>
      <color theme="1"/>
      <name val="Verdana"/>
      <family val="2"/>
    </font>
    <font>
      <b/>
      <sz val="24"/>
      <color theme="3"/>
      <name val="Segoe UI Light"/>
      <family val="2"/>
      <scheme val="major"/>
    </font>
    <font>
      <sz val="36"/>
      <color theme="0"/>
      <name val="Segoe UI Light"/>
      <family val="2"/>
      <scheme val="major"/>
    </font>
    <font>
      <sz val="36"/>
      <color theme="0"/>
      <name val="Segoe UI Body"/>
    </font>
    <font>
      <sz val="14"/>
      <name val="Segoe UI Light"/>
      <family val="2"/>
      <scheme val="major"/>
    </font>
    <font>
      <b/>
      <sz val="24"/>
      <color theme="1"/>
      <name val="Segoe UI Light"/>
      <family val="2"/>
      <scheme val="major"/>
    </font>
    <font>
      <sz val="11"/>
      <color rgb="FFFF0000"/>
      <name val="Verdana"/>
      <family val="2"/>
    </font>
    <font>
      <sz val="16"/>
      <color theme="3"/>
      <name val="Segoe UI Light"/>
      <family val="2"/>
      <scheme val="major"/>
    </font>
    <font>
      <sz val="16"/>
      <color theme="3"/>
      <name val="Segoe UI Semilight"/>
      <family val="2"/>
      <scheme val="minor"/>
    </font>
    <font>
      <b/>
      <sz val="22"/>
      <color theme="3"/>
      <name val="Segoe UI Light"/>
      <family val="2"/>
      <scheme val="major"/>
    </font>
    <font>
      <b/>
      <sz val="16"/>
      <color theme="3"/>
      <name val="Segoe UI Light"/>
      <family val="2"/>
      <scheme val="major"/>
    </font>
    <font>
      <sz val="14"/>
      <color theme="3"/>
      <name val="Segoe UI Light"/>
      <family val="2"/>
      <scheme val="major"/>
    </font>
    <font>
      <sz val="12"/>
      <color theme="2"/>
      <name val="Segoe UI Light"/>
      <family val="2"/>
      <scheme val="major"/>
    </font>
    <font>
      <sz val="14"/>
      <color theme="2"/>
      <name val="Segoe UI Light"/>
      <family val="2"/>
      <scheme val="major"/>
    </font>
    <font>
      <b/>
      <sz val="11"/>
      <color rgb="FF000000"/>
      <name val="Verdana"/>
      <family val="2"/>
    </font>
    <font>
      <b/>
      <sz val="11"/>
      <color theme="1"/>
      <name val="Segoe UI Semilight"/>
      <family val="2"/>
      <scheme val="minor"/>
    </font>
    <font>
      <b/>
      <sz val="9.35"/>
      <color theme="0"/>
      <name val="Verdana"/>
      <family val="2"/>
    </font>
    <font>
      <sz val="10"/>
      <color indexed="81"/>
      <name val="Verdana"/>
      <family val="2"/>
    </font>
    <font>
      <b/>
      <sz val="10"/>
      <color indexed="81"/>
      <name val="Verdana"/>
      <family val="2"/>
    </font>
    <font>
      <b/>
      <sz val="24"/>
      <color theme="5"/>
      <name val="Segoe UI Light"/>
      <family val="2"/>
      <scheme val="major"/>
    </font>
    <font>
      <b/>
      <sz val="16"/>
      <color theme="0"/>
      <name val="Segoe UI Light"/>
      <family val="2"/>
      <scheme val="major"/>
    </font>
    <font>
      <b/>
      <sz val="12"/>
      <color theme="0"/>
      <name val="Segoe UI Light"/>
      <family val="2"/>
      <scheme val="major"/>
    </font>
    <font>
      <sz val="12"/>
      <color theme="0"/>
      <name val="Segoe UI Light"/>
      <family val="2"/>
      <scheme val="major"/>
    </font>
    <font>
      <u/>
      <sz val="12"/>
      <color theme="10"/>
      <name val="Segoe UI Light"/>
      <family val="2"/>
      <scheme val="major"/>
    </font>
    <font>
      <b/>
      <sz val="12"/>
      <color theme="1"/>
      <name val="Segoe UI Light"/>
      <family val="2"/>
      <scheme val="major"/>
    </font>
    <font>
      <b/>
      <sz val="12"/>
      <name val="Segoe UI Light"/>
      <family val="2"/>
      <scheme val="major"/>
    </font>
    <font>
      <sz val="12"/>
      <name val="Segoe UI Light"/>
      <family val="2"/>
      <scheme val="major"/>
    </font>
    <font>
      <sz val="10"/>
      <color rgb="FF000000"/>
      <name val="Verdana"/>
      <family val="2"/>
    </font>
    <font>
      <sz val="10"/>
      <color rgb="FFFF0000"/>
      <name val="Verdana"/>
      <family val="2"/>
    </font>
    <font>
      <b/>
      <sz val="10"/>
      <color theme="0"/>
      <name val="Verdana"/>
      <family val="2"/>
    </font>
    <font>
      <sz val="12"/>
      <color theme="0"/>
      <name val="Segoe UI Semilight"/>
      <family val="2"/>
      <scheme val="minor"/>
    </font>
    <font>
      <i/>
      <sz val="12"/>
      <color theme="0"/>
      <name val="Segoe UI Semilight"/>
      <family val="2"/>
      <scheme val="minor"/>
    </font>
    <font>
      <b/>
      <sz val="12"/>
      <color theme="1"/>
      <name val="Segoe UI Semilight"/>
      <family val="2"/>
      <scheme val="minor"/>
    </font>
    <font>
      <i/>
      <sz val="12"/>
      <color theme="1"/>
      <name val="Segoe UI Semilight"/>
      <family val="2"/>
      <scheme val="minor"/>
    </font>
    <font>
      <sz val="12"/>
      <color rgb="FFFF0000"/>
      <name val="Segoe UI Semilight"/>
      <family val="2"/>
      <scheme val="minor"/>
    </font>
    <font>
      <i/>
      <sz val="11"/>
      <color theme="1"/>
      <name val="Segoe UI Semilight"/>
      <family val="2"/>
      <scheme val="minor"/>
    </font>
    <font>
      <sz val="11"/>
      <color indexed="10"/>
      <name val="Verdana"/>
      <family val="2"/>
    </font>
    <font>
      <b/>
      <sz val="11"/>
      <color indexed="12"/>
      <name val="Verdana"/>
      <family val="2"/>
    </font>
    <font>
      <sz val="11"/>
      <color indexed="81"/>
      <name val="Verdana"/>
      <family val="2"/>
    </font>
    <font>
      <u/>
      <sz val="11"/>
      <color indexed="81"/>
      <name val="Verdana"/>
      <family val="2"/>
    </font>
    <font>
      <i/>
      <sz val="12"/>
      <color theme="0"/>
      <name val="Verdana"/>
      <family val="2"/>
    </font>
    <font>
      <sz val="11"/>
      <color theme="0"/>
      <name val="Segoe UI Light"/>
      <family val="2"/>
      <scheme val="major"/>
    </font>
    <font>
      <sz val="11"/>
      <color theme="0"/>
      <name val="Segoe UI Semilight"/>
      <family val="2"/>
      <scheme val="minor"/>
    </font>
    <font>
      <b/>
      <sz val="14"/>
      <color theme="2"/>
      <name val="Segoe UI Light"/>
      <family val="2"/>
      <scheme val="major"/>
    </font>
    <font>
      <sz val="22"/>
      <color theme="0"/>
      <name val="Verdana"/>
      <family val="2"/>
    </font>
    <font>
      <sz val="9"/>
      <color theme="1"/>
      <name val="Verdana"/>
      <family val="2"/>
    </font>
    <font>
      <b/>
      <sz val="9"/>
      <color theme="1"/>
      <name val="Verdana"/>
      <family val="2"/>
    </font>
    <font>
      <b/>
      <sz val="14"/>
      <color theme="0"/>
      <name val="Verdana"/>
      <family val="2"/>
    </font>
    <font>
      <i/>
      <sz val="12"/>
      <color theme="0"/>
      <name val="Segoe UI Light"/>
      <family val="2"/>
      <scheme val="major"/>
    </font>
    <font>
      <i/>
      <sz val="11"/>
      <color theme="1"/>
      <name val="Segoe UI Light"/>
      <family val="2"/>
      <scheme val="major"/>
    </font>
    <font>
      <u/>
      <sz val="12"/>
      <color theme="1"/>
      <name val="Segoe UI Light"/>
      <family val="2"/>
      <scheme val="major"/>
    </font>
    <font>
      <i/>
      <sz val="12"/>
      <color theme="1"/>
      <name val="Segoe UI Light"/>
      <family val="2"/>
      <scheme val="major"/>
    </font>
    <font>
      <sz val="10"/>
      <color theme="1"/>
      <name val="Segoe UI Light"/>
      <family val="2"/>
      <scheme val="major"/>
    </font>
    <font>
      <u/>
      <sz val="11"/>
      <color theme="1"/>
      <name val="Verdana"/>
      <family val="2"/>
    </font>
    <font>
      <i/>
      <sz val="11"/>
      <color rgb="FFFF0000"/>
      <name val="Verdana"/>
      <family val="2"/>
    </font>
    <font>
      <i/>
      <u/>
      <sz val="11"/>
      <color rgb="FFFF0000"/>
      <name val="Verdana"/>
      <family val="2"/>
    </font>
    <font>
      <b/>
      <i/>
      <sz val="16"/>
      <color theme="1"/>
      <name val="Segoe UI Light"/>
      <family val="2"/>
      <scheme val="major"/>
    </font>
    <font>
      <b/>
      <i/>
      <sz val="14"/>
      <color theme="1"/>
      <name val="Segoe UI Light"/>
      <family val="2"/>
      <scheme val="major"/>
    </font>
  </fonts>
  <fills count="45">
    <fill>
      <patternFill patternType="none"/>
    </fill>
    <fill>
      <patternFill patternType="gray125"/>
    </fill>
    <fill>
      <patternFill patternType="solid">
        <fgColor theme="4"/>
        <bgColor indexed="64"/>
      </patternFill>
    </fill>
    <fill>
      <patternFill patternType="solid">
        <fgColor theme="1"/>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rgb="FF0070C0"/>
        <bgColor indexed="64"/>
      </patternFill>
    </fill>
    <fill>
      <patternFill patternType="solid">
        <fgColor theme="0"/>
        <bgColor indexed="64"/>
      </patternFill>
    </fill>
    <fill>
      <patternFill patternType="solid">
        <fgColor rgb="FF8E8E8E"/>
        <bgColor indexed="64"/>
      </patternFill>
    </fill>
    <fill>
      <patternFill patternType="solid">
        <fgColor rgb="FF92D050"/>
        <bgColor indexed="64"/>
      </patternFill>
    </fill>
    <fill>
      <patternFill patternType="solid">
        <fgColor rgb="FF8E8E8E"/>
        <bgColor theme="8"/>
      </patternFill>
    </fill>
    <fill>
      <patternFill patternType="solid">
        <fgColor indexed="22"/>
        <bgColor indexed="64"/>
      </patternFill>
    </fill>
    <fill>
      <patternFill patternType="lightGray">
        <fgColor indexed="13"/>
        <bgColor indexed="43"/>
      </patternFill>
    </fill>
    <fill>
      <patternFill patternType="solid">
        <fgColor theme="0" tint="-4.9989318521683403E-2"/>
        <bgColor indexed="64"/>
      </patternFill>
    </fill>
    <fill>
      <patternFill patternType="solid">
        <fgColor rgb="FFFFFF00"/>
        <bgColor indexed="64"/>
      </patternFill>
    </fill>
    <fill>
      <patternFill patternType="solid">
        <fgColor indexed="43"/>
        <bgColor indexed="64"/>
      </patternFill>
    </fill>
    <fill>
      <patternFill patternType="solid">
        <fgColor indexed="57"/>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33"/>
        <bgColor indexed="64"/>
      </patternFill>
    </fill>
    <fill>
      <patternFill patternType="solid">
        <fgColor theme="1" tint="0.499984740745262"/>
        <bgColor indexed="64"/>
      </patternFill>
    </fill>
    <fill>
      <patternFill patternType="solid">
        <fgColor rgb="FFFFC000"/>
        <bgColor indexed="64"/>
      </patternFill>
    </fill>
    <fill>
      <patternFill patternType="solid">
        <fgColor rgb="FF00B0F0"/>
        <bgColor indexed="64"/>
      </patternFill>
    </fill>
    <fill>
      <patternFill patternType="solid">
        <fgColor theme="0"/>
        <bgColor theme="8" tint="0.79998168889431442"/>
      </patternFill>
    </fill>
    <fill>
      <patternFill patternType="solid">
        <fgColor rgb="FF7030A0"/>
        <bgColor indexed="64"/>
      </patternFill>
    </fill>
    <fill>
      <patternFill patternType="solid">
        <fgColor theme="2"/>
        <bgColor indexed="64"/>
      </patternFill>
    </fill>
    <fill>
      <patternFill patternType="solid">
        <fgColor theme="5"/>
        <bgColor indexed="64"/>
      </patternFill>
    </fill>
    <fill>
      <patternFill patternType="solid">
        <fgColor theme="3"/>
        <bgColor indexed="64"/>
      </patternFill>
    </fill>
    <fill>
      <patternFill patternType="solid">
        <fgColor indexed="10"/>
        <bgColor indexed="64"/>
      </patternFill>
    </fill>
    <fill>
      <patternFill patternType="solid">
        <fgColor theme="7"/>
        <bgColor indexed="64"/>
      </patternFill>
    </fill>
    <fill>
      <patternFill patternType="solid">
        <fgColor rgb="FFD9D9D9"/>
        <bgColor indexed="64"/>
      </patternFill>
    </fill>
    <fill>
      <patternFill patternType="solid">
        <fgColor rgb="FFFF0000"/>
        <bgColor indexed="64"/>
      </patternFill>
    </fill>
    <fill>
      <patternFill patternType="solid">
        <fgColor theme="1" tint="0.79998168889431442"/>
        <bgColor indexed="64"/>
      </patternFill>
    </fill>
    <fill>
      <patternFill patternType="solid">
        <fgColor rgb="FFFFC000"/>
        <bgColor rgb="FF000000"/>
      </patternFill>
    </fill>
    <fill>
      <patternFill patternType="solid">
        <fgColor rgb="FF00B0F0"/>
        <bgColor rgb="FF000000"/>
      </patternFill>
    </fill>
    <fill>
      <patternFill patternType="solid">
        <fgColor rgb="FF7030A0"/>
        <bgColor rgb="FF000000"/>
      </patternFill>
    </fill>
    <fill>
      <patternFill patternType="solid">
        <fgColor theme="0" tint="-0.249977111117893"/>
        <bgColor indexed="64"/>
      </patternFill>
    </fill>
    <fill>
      <patternFill patternType="solid">
        <fgColor rgb="FFCBF1FD"/>
        <bgColor indexed="64"/>
      </patternFill>
    </fill>
    <fill>
      <patternFill patternType="solid">
        <fgColor theme="4" tint="-0.499984740745262"/>
        <bgColor indexed="64"/>
      </patternFill>
    </fill>
    <fill>
      <patternFill patternType="solid">
        <fgColor theme="7" tint="9.9978637043366805E-2"/>
        <bgColor indexed="64"/>
      </patternFill>
    </fill>
    <fill>
      <patternFill patternType="solid">
        <fgColor rgb="FFFFE697"/>
        <bgColor indexed="64"/>
      </patternFill>
    </fill>
    <fill>
      <patternFill patternType="solid">
        <fgColor theme="3" tint="0.89999084444715716"/>
        <bgColor indexed="64"/>
      </patternFill>
    </fill>
    <fill>
      <patternFill patternType="solid">
        <fgColor rgb="FF0AB9F0"/>
        <bgColor indexed="64"/>
      </patternFill>
    </fill>
  </fills>
  <borders count="5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8"/>
      </left>
      <right style="medium">
        <color indexed="8"/>
      </right>
      <top style="medium">
        <color indexed="8"/>
      </top>
      <bottom style="medium">
        <color indexed="8"/>
      </bottom>
      <diagonal/>
    </border>
    <border>
      <left style="medium">
        <color indexed="63"/>
      </left>
      <right style="medium">
        <color indexed="9"/>
      </right>
      <top style="medium">
        <color indexed="63"/>
      </top>
      <bottom style="medium">
        <color indexed="9"/>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55"/>
      </right>
      <top style="medium">
        <color indexed="64"/>
      </top>
      <bottom style="medium">
        <color indexed="55"/>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77111117893"/>
      </top>
      <bottom/>
      <diagonal/>
    </border>
    <border>
      <left/>
      <right style="thin">
        <color theme="0" tint="-0.249977111117893"/>
      </right>
      <top/>
      <bottom/>
      <diagonal/>
    </border>
    <border>
      <left/>
      <right style="thin">
        <color theme="0" tint="-0.249977111117893"/>
      </right>
      <top style="thin">
        <color theme="0" tint="-0.249977111117893"/>
      </top>
      <bottom/>
      <diagonal/>
    </border>
    <border>
      <left/>
      <right/>
      <top/>
      <bottom style="thin">
        <color theme="0" tint="-0.249977111117893"/>
      </bottom>
      <diagonal/>
    </border>
    <border>
      <left/>
      <right/>
      <top style="medium">
        <color indexed="64"/>
      </top>
      <bottom style="medium">
        <color indexed="64"/>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n">
        <color theme="0" tint="-0.249977111117893"/>
      </top>
      <bottom style="thin">
        <color indexed="64"/>
      </bottom>
      <diagonal/>
    </border>
    <border>
      <left/>
      <right style="thin">
        <color theme="0" tint="-0.14999847407452621"/>
      </right>
      <top style="thin">
        <color theme="0" tint="-0.249977111117893"/>
      </top>
      <bottom/>
      <diagonal/>
    </border>
    <border>
      <left/>
      <right style="thin">
        <color theme="0" tint="-0.14999847407452621"/>
      </right>
      <top/>
      <bottom/>
      <diagonal/>
    </border>
    <border>
      <left/>
      <right style="thin">
        <color theme="0" tint="-0.14999847407452621"/>
      </right>
      <top/>
      <bottom style="thin">
        <color theme="0" tint="-0.249977111117893"/>
      </bottom>
      <diagonal/>
    </border>
    <border>
      <left/>
      <right/>
      <top style="thin">
        <color theme="0" tint="-0.14999847407452621"/>
      </top>
      <bottom/>
      <diagonal/>
    </border>
    <border>
      <left/>
      <right style="thin">
        <color theme="0" tint="-0.14999847407452621"/>
      </right>
      <top/>
      <bottom style="thin">
        <color theme="0" tint="-0.14999847407452621"/>
      </bottom>
      <diagonal/>
    </border>
  </borders>
  <cellStyleXfs count="197">
    <xf numFmtId="0" fontId="0" fillId="0" borderId="0"/>
    <xf numFmtId="0" fontId="33" fillId="0" borderId="0"/>
    <xf numFmtId="1" fontId="36" fillId="0" borderId="0"/>
    <xf numFmtId="0" fontId="37" fillId="12" borderId="0" applyFont="0" applyFill="0" applyBorder="0" applyAlignment="0" applyProtection="0"/>
    <xf numFmtId="0" fontId="37" fillId="12" borderId="0" applyFont="0" applyFill="0" applyBorder="0" applyAlignment="0" applyProtection="0"/>
    <xf numFmtId="0" fontId="38" fillId="13" borderId="13" applyNumberFormat="0" applyFont="0" applyProtection="0"/>
    <xf numFmtId="0" fontId="38" fillId="13" borderId="13" applyNumberFormat="0" applyFont="0" applyProtection="0"/>
    <xf numFmtId="0" fontId="38" fillId="13" borderId="14" applyNumberFormat="0" applyFont="0" applyProtection="0"/>
    <xf numFmtId="0" fontId="38" fillId="13" borderId="14" applyNumberFormat="0" applyFont="0" applyProtection="0"/>
    <xf numFmtId="0" fontId="38" fillId="13" borderId="14" applyFont="0"/>
    <xf numFmtId="0" fontId="38" fillId="13" borderId="14" applyFont="0"/>
    <xf numFmtId="0" fontId="39" fillId="12" borderId="13" applyNumberFormat="0" applyFont="0"/>
    <xf numFmtId="0" fontId="39" fillId="12" borderId="13" applyNumberFormat="0" applyFont="0"/>
    <xf numFmtId="0" fontId="39" fillId="12" borderId="14" applyNumberFormat="0" applyFont="0"/>
    <xf numFmtId="0" fontId="39" fillId="12" borderId="14" applyNumberFormat="0" applyFont="0"/>
    <xf numFmtId="0" fontId="37" fillId="14" borderId="0" applyNumberFormat="0" applyFont="0" applyBorder="0" applyAlignment="0"/>
    <xf numFmtId="0" fontId="37" fillId="14" borderId="0" applyNumberFormat="0" applyFont="0" applyBorder="0" applyAlignment="0"/>
    <xf numFmtId="0" fontId="37" fillId="15" borderId="0" applyNumberFormat="0" applyFont="0" applyBorder="0" applyAlignment="0">
      <protection locked="0"/>
    </xf>
    <xf numFmtId="0" fontId="37" fillId="15" borderId="0" applyNumberFormat="0" applyFont="0" applyBorder="0" applyAlignment="0">
      <protection locked="0"/>
    </xf>
    <xf numFmtId="0" fontId="40" fillId="0" borderId="15">
      <alignment horizontal="center"/>
    </xf>
    <xf numFmtId="166" fontId="41" fillId="0" borderId="0"/>
    <xf numFmtId="166" fontId="41" fillId="0" borderId="0"/>
    <xf numFmtId="166" fontId="41" fillId="0" borderId="0"/>
    <xf numFmtId="166" fontId="41" fillId="0" borderId="0"/>
    <xf numFmtId="166" fontId="41" fillId="0" borderId="0"/>
    <xf numFmtId="166" fontId="41" fillId="0" borderId="0"/>
    <xf numFmtId="166" fontId="41" fillId="0" borderId="0"/>
    <xf numFmtId="166" fontId="41" fillId="0" borderId="0"/>
    <xf numFmtId="164" fontId="41"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7" fontId="40" fillId="16" borderId="2" applyFont="0" applyFill="0" applyBorder="0" applyAlignment="0" applyProtection="0">
      <alignment horizontal="center"/>
      <protection locked="0"/>
    </xf>
    <xf numFmtId="167" fontId="40" fillId="16" borderId="2" applyFont="0" applyFill="0" applyBorder="0" applyAlignment="0" applyProtection="0">
      <alignment horizontal="center"/>
      <protection locked="0"/>
    </xf>
    <xf numFmtId="168" fontId="41" fillId="0" borderId="0" applyFont="0" applyFill="0" applyBorder="0" applyAlignment="0" applyProtection="0">
      <alignment horizontal="center"/>
    </xf>
    <xf numFmtId="169" fontId="42" fillId="0" borderId="0" applyFont="0" applyFill="0" applyBorder="0" applyAlignment="0" applyProtection="0"/>
    <xf numFmtId="170" fontId="37" fillId="0" borderId="0" applyFont="0" applyFill="0" applyBorder="0" applyAlignment="0" applyProtection="0"/>
    <xf numFmtId="170" fontId="37" fillId="0" borderId="0" applyFont="0" applyFill="0" applyBorder="0" applyAlignment="0" applyProtection="0"/>
    <xf numFmtId="171" fontId="37" fillId="0" borderId="0" applyFont="0" applyFill="0" applyBorder="0" applyAlignment="0" applyProtection="0"/>
    <xf numFmtId="171" fontId="37" fillId="0" borderId="0" applyFont="0" applyFill="0" applyBorder="0" applyAlignment="0" applyProtection="0"/>
    <xf numFmtId="0" fontId="42" fillId="0" borderId="0" applyFont="0" applyFill="0" applyBorder="0" applyAlignment="0" applyProtection="0"/>
    <xf numFmtId="172" fontId="43" fillId="0" borderId="0" applyFont="0" applyFill="0" applyBorder="0" applyAlignment="0" applyProtection="0"/>
    <xf numFmtId="165" fontId="41"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3"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37" fontId="44" fillId="17" borderId="16" applyFont="0" applyFill="0" applyBorder="0" applyAlignment="0" applyProtection="0">
      <alignment horizontal="centerContinuous" vertical="center"/>
    </xf>
    <xf numFmtId="0" fontId="41" fillId="13" borderId="14" applyFont="0" applyFill="0" applyBorder="0" applyAlignment="0" applyProtection="0">
      <alignment horizontal="center"/>
      <protection locked="0"/>
    </xf>
    <xf numFmtId="0" fontId="41" fillId="13" borderId="14" applyFont="0" applyFill="0" applyBorder="0" applyAlignment="0" applyProtection="0">
      <alignment horizontal="center"/>
      <protection locked="0"/>
    </xf>
    <xf numFmtId="0" fontId="41" fillId="16" borderId="0" applyFont="0" applyFill="0" applyBorder="0" applyAlignment="0" applyProtection="0"/>
    <xf numFmtId="0" fontId="41" fillId="13" borderId="14" applyFont="0" applyFill="0" applyBorder="0" applyAlignment="0" applyProtection="0">
      <protection locked="0"/>
    </xf>
    <xf numFmtId="0" fontId="41" fillId="13" borderId="14" applyFont="0" applyFill="0" applyBorder="0" applyAlignment="0" applyProtection="0">
      <protection locked="0"/>
    </xf>
    <xf numFmtId="0" fontId="41" fillId="12" borderId="0" applyFont="0" applyFill="0" applyBorder="0" applyAlignment="0" applyProtection="0"/>
    <xf numFmtId="0" fontId="41" fillId="13" borderId="14" applyFont="0" applyFill="0" applyBorder="0" applyAlignment="0" applyProtection="0">
      <protection locked="0"/>
    </xf>
    <xf numFmtId="0" fontId="41" fillId="13" borderId="14" applyFont="0" applyFill="0" applyBorder="0" applyAlignment="0" applyProtection="0">
      <protection locked="0"/>
    </xf>
    <xf numFmtId="173" fontId="41" fillId="12" borderId="0" applyFont="0" applyFill="0" applyBorder="0" applyAlignment="0" applyProtection="0"/>
    <xf numFmtId="3" fontId="41" fillId="0" borderId="0" applyFont="0" applyFill="0" applyBorder="0" applyAlignment="0" applyProtection="0"/>
    <xf numFmtId="0" fontId="45" fillId="0" borderId="0"/>
    <xf numFmtId="3" fontId="41" fillId="12" borderId="0" applyFont="0" applyFill="0" applyBorder="0" applyAlignment="0" applyProtection="0">
      <alignment horizontal="center"/>
    </xf>
    <xf numFmtId="0" fontId="45" fillId="0" borderId="0"/>
    <xf numFmtId="0" fontId="41" fillId="0" borderId="0"/>
    <xf numFmtId="0" fontId="45" fillId="0" borderId="0"/>
    <xf numFmtId="0" fontId="45" fillId="0" borderId="0"/>
    <xf numFmtId="174" fontId="43" fillId="18"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0" fontId="42" fillId="13" borderId="14" applyFont="0" applyFill="0" applyBorder="0" applyAlignment="0" applyProtection="0">
      <protection locked="0"/>
    </xf>
    <xf numFmtId="0" fontId="42" fillId="13" borderId="14" applyFont="0" applyFill="0" applyBorder="0" applyAlignment="0" applyProtection="0">
      <protection locked="0"/>
    </xf>
    <xf numFmtId="0" fontId="41" fillId="13" borderId="14" applyFont="0" applyFill="0" applyBorder="0" applyAlignment="0" applyProtection="0">
      <protection locked="0"/>
    </xf>
    <xf numFmtId="0" fontId="41" fillId="13" borderId="14" applyFont="0" applyFill="0" applyBorder="0" applyAlignment="0" applyProtection="0">
      <protection locked="0"/>
    </xf>
    <xf numFmtId="0" fontId="41" fillId="13" borderId="14" applyFont="0" applyFill="0" applyBorder="0" applyAlignment="0" applyProtection="0">
      <protection locked="0"/>
    </xf>
    <xf numFmtId="0" fontId="41" fillId="13" borderId="14" applyFont="0" applyFill="0" applyBorder="0" applyAlignment="0" applyProtection="0">
      <protection locked="0"/>
    </xf>
    <xf numFmtId="5" fontId="41" fillId="0" borderId="0" applyFont="0" applyFill="0" applyBorder="0" applyAlignment="0" applyProtection="0"/>
    <xf numFmtId="0" fontId="41" fillId="0" borderId="0" applyFill="0" applyBorder="0" applyAlignment="0" applyProtection="0"/>
    <xf numFmtId="175" fontId="37" fillId="0" borderId="0" applyFont="0" applyFill="0" applyBorder="0" applyAlignment="0" applyProtection="0"/>
    <xf numFmtId="175" fontId="37" fillId="0" borderId="0" applyFont="0" applyFill="0" applyBorder="0" applyAlignment="0" applyProtection="0"/>
    <xf numFmtId="3" fontId="46" fillId="19" borderId="17">
      <alignment horizontal="center" vertical="center"/>
      <protection locked="0"/>
    </xf>
    <xf numFmtId="176" fontId="37" fillId="0" borderId="0" applyFont="0" applyFill="0" applyBorder="0" applyAlignment="0" applyProtection="0"/>
    <xf numFmtId="176" fontId="37" fillId="0" borderId="0" applyFont="0" applyFill="0" applyBorder="0" applyAlignment="0" applyProtection="0"/>
    <xf numFmtId="0" fontId="37" fillId="20" borderId="0" applyFont="0" applyBorder="0" applyAlignment="0" applyProtection="0"/>
    <xf numFmtId="0" fontId="37" fillId="20" borderId="0" applyFont="0" applyBorder="0" applyAlignment="0" applyProtection="0"/>
    <xf numFmtId="0" fontId="37" fillId="21" borderId="0" applyFont="0" applyBorder="0" applyAlignment="0" applyProtection="0"/>
    <xf numFmtId="0" fontId="37" fillId="21" borderId="0" applyFont="0" applyBorder="0" applyAlignment="0" applyProtection="0"/>
    <xf numFmtId="177" fontId="37" fillId="20" borderId="0" applyFont="0" applyBorder="0" applyAlignment="0" applyProtection="0"/>
    <xf numFmtId="2" fontId="41" fillId="0" borderId="0" applyFont="0" applyFill="0" applyBorder="0" applyAlignment="0" applyProtection="0"/>
    <xf numFmtId="0" fontId="45" fillId="0" borderId="0"/>
    <xf numFmtId="12" fontId="47" fillId="0" borderId="18" applyFont="0" applyFill="0" applyBorder="0" applyAlignment="0" applyProtection="0"/>
    <xf numFmtId="38" fontId="37" fillId="12" borderId="0" applyNumberFormat="0" applyBorder="0" applyAlignment="0" applyProtection="0"/>
    <xf numFmtId="38" fontId="37" fillId="12" borderId="0" applyNumberFormat="0" applyBorder="0" applyAlignment="0" applyProtection="0"/>
    <xf numFmtId="10" fontId="37" fillId="19" borderId="19" applyNumberFormat="0" applyBorder="0" applyAlignment="0" applyProtection="0"/>
    <xf numFmtId="10" fontId="37" fillId="19" borderId="19" applyNumberFormat="0" applyBorder="0" applyAlignment="0" applyProtection="0"/>
    <xf numFmtId="0" fontId="48" fillId="16" borderId="14" applyNumberFormat="0" applyFont="0">
      <alignment horizontal="center"/>
      <protection locked="0"/>
    </xf>
    <xf numFmtId="0" fontId="48" fillId="16" borderId="14" applyNumberFormat="0" applyFont="0">
      <alignment horizontal="center"/>
      <protection locked="0"/>
    </xf>
    <xf numFmtId="37" fontId="49" fillId="0" borderId="0"/>
    <xf numFmtId="178" fontId="50" fillId="0" borderId="0"/>
    <xf numFmtId="0" fontId="37" fillId="0" borderId="0"/>
    <xf numFmtId="0" fontId="41" fillId="0" borderId="0"/>
    <xf numFmtId="0" fontId="37" fillId="0" borderId="0"/>
    <xf numFmtId="0" fontId="33" fillId="0" borderId="0"/>
    <xf numFmtId="0" fontId="37" fillId="0" borderId="0"/>
    <xf numFmtId="0" fontId="37" fillId="0" borderId="0"/>
    <xf numFmtId="0" fontId="37" fillId="0" borderId="0"/>
    <xf numFmtId="0" fontId="37" fillId="0" borderId="0"/>
    <xf numFmtId="0" fontId="37" fillId="0" borderId="0"/>
    <xf numFmtId="0" fontId="51" fillId="0" borderId="0"/>
    <xf numFmtId="37" fontId="41" fillId="16" borderId="0" applyFont="0" applyFill="0" applyBorder="0" applyAlignment="0" applyProtection="0">
      <alignment horizontal="center"/>
    </xf>
    <xf numFmtId="0" fontId="45" fillId="0" borderId="0"/>
    <xf numFmtId="0" fontId="45" fillId="0" borderId="0"/>
    <xf numFmtId="179" fontId="52" fillId="19" borderId="0" applyFont="0" applyFill="0" applyBorder="0" applyAlignment="0" applyProtection="0"/>
    <xf numFmtId="10" fontId="45" fillId="0" borderId="0" applyFont="0" applyFill="0" applyBorder="0" applyAlignment="0" applyProtection="0">
      <protection locked="0"/>
    </xf>
    <xf numFmtId="10" fontId="41" fillId="0" borderId="0" applyFont="0" applyFill="0" applyBorder="0" applyAlignment="0" applyProtection="0"/>
    <xf numFmtId="179" fontId="37" fillId="0" borderId="0" applyFont="0" applyFill="0" applyBorder="0" applyAlignment="0" applyProtection="0"/>
    <xf numFmtId="179" fontId="37" fillId="0" borderId="0" applyFont="0" applyFill="0" applyBorder="0" applyAlignment="0" applyProtection="0"/>
    <xf numFmtId="10" fontId="37" fillId="0" borderId="5" applyFont="0" applyFill="0" applyBorder="0" applyAlignment="0" applyProtection="0"/>
    <xf numFmtId="10" fontId="37" fillId="0" borderId="5" applyFont="0" applyFill="0" applyBorder="0" applyAlignment="0" applyProtection="0"/>
    <xf numFmtId="10" fontId="37" fillId="0" borderId="5" applyFont="0" applyFill="0" applyBorder="0" applyAlignment="0" applyProtection="0"/>
    <xf numFmtId="10" fontId="37" fillId="0" borderId="5" applyFont="0" applyFill="0" applyBorder="0" applyAlignment="0" applyProtection="0"/>
    <xf numFmtId="9" fontId="4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51" fillId="0" borderId="0" applyFont="0" applyFill="0" applyBorder="0" applyAlignment="0" applyProtection="0"/>
    <xf numFmtId="0" fontId="41" fillId="13" borderId="14" applyFont="0" applyFill="0" applyBorder="0" applyAlignment="0" applyProtection="0">
      <protection locked="0"/>
    </xf>
    <xf numFmtId="0" fontId="41" fillId="13" borderId="14" applyFont="0" applyFill="0" applyBorder="0" applyAlignment="0" applyProtection="0">
      <protection locked="0"/>
    </xf>
    <xf numFmtId="0" fontId="41" fillId="13" borderId="14" applyFont="0" applyFill="0" applyBorder="0" applyAlignment="0" applyProtection="0">
      <protection locked="0"/>
    </xf>
    <xf numFmtId="0" fontId="41" fillId="13" borderId="14" applyFont="0" applyFill="0" applyBorder="0" applyAlignment="0" applyProtection="0">
      <protection locked="0"/>
    </xf>
    <xf numFmtId="9" fontId="57" fillId="0" borderId="0" applyFont="0" applyFill="0" applyBorder="0" applyAlignment="0" applyProtection="0"/>
    <xf numFmtId="0" fontId="26" fillId="0" borderId="0"/>
    <xf numFmtId="0" fontId="57" fillId="0" borderId="0"/>
    <xf numFmtId="164" fontId="41"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5" fontId="41"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26"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0" fontId="26" fillId="0" borderId="0"/>
    <xf numFmtId="9" fontId="57" fillId="0" borderId="0" applyFont="0" applyFill="0" applyBorder="0" applyAlignment="0" applyProtection="0"/>
    <xf numFmtId="0" fontId="25" fillId="0" borderId="0"/>
    <xf numFmtId="0" fontId="25" fillId="0" borderId="0"/>
    <xf numFmtId="0" fontId="69" fillId="0" borderId="0" applyNumberFormat="0" applyFill="0" applyBorder="0" applyAlignment="0" applyProtection="0"/>
    <xf numFmtId="0" fontId="24" fillId="0" borderId="0"/>
    <xf numFmtId="0" fontId="24" fillId="0" borderId="0"/>
    <xf numFmtId="0" fontId="23" fillId="0" borderId="0"/>
    <xf numFmtId="9" fontId="23" fillId="0" borderId="0" applyFont="0" applyFill="0" applyBorder="0" applyAlignment="0" applyProtection="0"/>
    <xf numFmtId="43" fontId="23" fillId="0" borderId="0" applyFont="0" applyFill="0" applyBorder="0" applyAlignment="0" applyProtection="0"/>
    <xf numFmtId="0" fontId="23" fillId="0" borderId="0"/>
    <xf numFmtId="41" fontId="23" fillId="0" borderId="0" applyFont="0" applyFill="0" applyBorder="0" applyAlignment="0" applyProtection="0"/>
    <xf numFmtId="9" fontId="23" fillId="0" borderId="0" applyFont="0" applyFill="0" applyBorder="0" applyAlignment="0" applyProtection="0"/>
    <xf numFmtId="0" fontId="23" fillId="0" borderId="0"/>
    <xf numFmtId="43" fontId="23" fillId="0" borderId="0" applyFont="0" applyFill="0" applyBorder="0" applyAlignment="0" applyProtection="0"/>
    <xf numFmtId="0" fontId="23" fillId="0" borderId="0"/>
    <xf numFmtId="0" fontId="57" fillId="0" borderId="0"/>
    <xf numFmtId="0" fontId="22" fillId="0" borderId="0"/>
    <xf numFmtId="9" fontId="22" fillId="0" borderId="0" applyFont="0" applyFill="0" applyBorder="0" applyAlignment="0" applyProtection="0"/>
    <xf numFmtId="0" fontId="20" fillId="0" borderId="0"/>
    <xf numFmtId="43" fontId="20" fillId="0" borderId="0" applyFont="0" applyFill="0" applyBorder="0" applyAlignment="0" applyProtection="0"/>
    <xf numFmtId="0" fontId="20" fillId="0" borderId="0"/>
    <xf numFmtId="0" fontId="19" fillId="0" borderId="0"/>
    <xf numFmtId="43" fontId="19" fillId="0" borderId="0" applyFont="0" applyFill="0" applyBorder="0" applyAlignment="0" applyProtection="0"/>
    <xf numFmtId="0" fontId="14" fillId="0" borderId="0"/>
    <xf numFmtId="0" fontId="14" fillId="0" borderId="0"/>
    <xf numFmtId="0" fontId="14" fillId="0" borderId="0"/>
    <xf numFmtId="0" fontId="13" fillId="0" borderId="0"/>
    <xf numFmtId="0" fontId="13" fillId="0" borderId="0"/>
    <xf numFmtId="0" fontId="12" fillId="0" borderId="0"/>
    <xf numFmtId="0" fontId="11" fillId="0" borderId="0"/>
    <xf numFmtId="0" fontId="8" fillId="0" borderId="0"/>
    <xf numFmtId="0" fontId="7" fillId="0" borderId="0"/>
    <xf numFmtId="0" fontId="7" fillId="0" borderId="0"/>
    <xf numFmtId="0" fontId="5" fillId="0" borderId="0"/>
    <xf numFmtId="0" fontId="37" fillId="0" borderId="0"/>
    <xf numFmtId="0" fontId="4" fillId="0" borderId="0"/>
    <xf numFmtId="0" fontId="3" fillId="0" borderId="0"/>
  </cellStyleXfs>
  <cellXfs count="1311">
    <xf numFmtId="0" fontId="0" fillId="0" borderId="0" xfId="0"/>
    <xf numFmtId="0" fontId="30" fillId="4" borderId="0" xfId="0" applyFont="1" applyFill="1" applyAlignment="1">
      <alignment horizontal="center" vertical="center"/>
    </xf>
    <xf numFmtId="0" fontId="30" fillId="4" borderId="0" xfId="0" applyFont="1" applyFill="1" applyAlignment="1">
      <alignment horizontal="left" vertical="center"/>
    </xf>
    <xf numFmtId="0" fontId="31" fillId="4" borderId="0" xfId="0" applyFont="1" applyFill="1" applyAlignment="1">
      <alignment horizontal="center" vertical="center" wrapText="1"/>
    </xf>
    <xf numFmtId="0" fontId="28" fillId="4" borderId="0" xfId="0" applyFont="1" applyFill="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5" borderId="0" xfId="0" applyFill="1" applyAlignment="1">
      <alignment horizontal="center" vertical="center"/>
    </xf>
    <xf numFmtId="0" fontId="27" fillId="3" borderId="0" xfId="0" applyFont="1" applyFill="1" applyAlignment="1">
      <alignment horizontal="left" vertical="center"/>
    </xf>
    <xf numFmtId="0" fontId="27" fillId="3" borderId="0" xfId="0" applyFont="1" applyFill="1" applyAlignment="1">
      <alignment horizontal="center" vertical="center"/>
    </xf>
    <xf numFmtId="0" fontId="27" fillId="4" borderId="0" xfId="0" applyFont="1" applyFill="1" applyAlignment="1">
      <alignment horizontal="center" vertical="center"/>
    </xf>
    <xf numFmtId="0" fontId="27" fillId="3" borderId="0" xfId="0" applyFont="1" applyFill="1"/>
    <xf numFmtId="0" fontId="27" fillId="2" borderId="0" xfId="0" applyFont="1" applyFill="1" applyAlignment="1">
      <alignment horizontal="center"/>
    </xf>
    <xf numFmtId="0" fontId="0" fillId="5" borderId="0" xfId="0" applyFill="1"/>
    <xf numFmtId="0" fontId="0" fillId="5" borderId="19" xfId="0" applyFill="1" applyBorder="1"/>
    <xf numFmtId="0" fontId="27" fillId="3" borderId="0" xfId="0" applyFont="1" applyFill="1" applyAlignment="1">
      <alignment horizontal="center"/>
    </xf>
    <xf numFmtId="0" fontId="27" fillId="4" borderId="0" xfId="0" applyFont="1" applyFill="1"/>
    <xf numFmtId="0" fontId="27" fillId="4" borderId="0" xfId="0" applyFont="1" applyFill="1" applyAlignment="1">
      <alignment horizontal="center"/>
    </xf>
    <xf numFmtId="0" fontId="0" fillId="5" borderId="0" xfId="0" applyFill="1" applyAlignment="1">
      <alignment horizontal="center"/>
    </xf>
    <xf numFmtId="0" fontId="0" fillId="0" borderId="0" xfId="0" applyAlignment="1">
      <alignment horizontal="center"/>
    </xf>
    <xf numFmtId="0" fontId="53" fillId="0" borderId="0" xfId="112" applyFont="1"/>
    <xf numFmtId="0" fontId="54" fillId="0" borderId="0" xfId="112" applyFont="1"/>
    <xf numFmtId="0" fontId="55" fillId="0" borderId="0" xfId="112" applyFont="1"/>
    <xf numFmtId="0" fontId="53" fillId="5" borderId="0" xfId="112" applyFont="1" applyFill="1" applyAlignment="1"/>
    <xf numFmtId="0" fontId="53" fillId="0" borderId="0" xfId="112" applyFont="1" applyFill="1" applyAlignment="1"/>
    <xf numFmtId="0" fontId="53" fillId="0" borderId="0" xfId="112" applyFont="1" applyFill="1"/>
    <xf numFmtId="0" fontId="53" fillId="0" borderId="0" xfId="112" applyFont="1" applyAlignment="1">
      <alignment horizontal="left"/>
    </xf>
    <xf numFmtId="0" fontId="53" fillId="5" borderId="19" xfId="112" applyFont="1" applyFill="1" applyBorder="1"/>
    <xf numFmtId="0" fontId="32" fillId="0" borderId="0" xfId="0" applyFont="1"/>
    <xf numFmtId="0" fontId="0" fillId="0" borderId="0" xfId="0" applyFill="1"/>
    <xf numFmtId="3" fontId="0" fillId="0" borderId="0" xfId="0" applyNumberFormat="1" applyAlignment="1">
      <alignment horizontal="center"/>
    </xf>
    <xf numFmtId="0" fontId="27" fillId="3" borderId="0" xfId="0" applyFont="1" applyFill="1" applyAlignment="1">
      <alignment vertical="center"/>
    </xf>
    <xf numFmtId="0" fontId="0" fillId="0" borderId="0" xfId="0" applyAlignment="1">
      <alignment vertical="center"/>
    </xf>
    <xf numFmtId="0" fontId="0" fillId="0" borderId="0" xfId="0" applyBorder="1" applyAlignment="1">
      <alignment vertical="center"/>
    </xf>
    <xf numFmtId="0" fontId="32" fillId="0" borderId="0" xfId="0" applyFont="1" applyAlignment="1">
      <alignment horizontal="center" vertical="center"/>
    </xf>
    <xf numFmtId="0" fontId="0" fillId="5" borderId="0" xfId="0" applyFill="1" applyAlignment="1">
      <alignment horizontal="left" vertical="center"/>
    </xf>
    <xf numFmtId="0" fontId="27" fillId="4" borderId="0" xfId="0" applyFont="1" applyFill="1" applyAlignment="1">
      <alignment horizontal="left" vertical="center"/>
    </xf>
    <xf numFmtId="0" fontId="0" fillId="0" borderId="0" xfId="0" applyFill="1" applyAlignment="1">
      <alignment horizontal="center"/>
    </xf>
    <xf numFmtId="179" fontId="0" fillId="0" borderId="0" xfId="140" applyNumberFormat="1" applyFont="1" applyAlignment="1">
      <alignment horizontal="center"/>
    </xf>
    <xf numFmtId="0" fontId="59" fillId="22" borderId="0" xfId="112" applyFont="1" applyFill="1"/>
    <xf numFmtId="0" fontId="29" fillId="22" borderId="0" xfId="112" applyFont="1" applyFill="1"/>
    <xf numFmtId="0" fontId="27" fillId="22" borderId="0" xfId="0" applyFont="1" applyFill="1"/>
    <xf numFmtId="0" fontId="59" fillId="3" borderId="0" xfId="112" applyFont="1" applyFill="1"/>
    <xf numFmtId="0" fontId="29" fillId="3" borderId="0" xfId="112" applyFont="1" applyFill="1"/>
    <xf numFmtId="0" fontId="53" fillId="5" borderId="24" xfId="0" applyFont="1" applyFill="1" applyBorder="1" applyAlignment="1">
      <alignment horizontal="center"/>
    </xf>
    <xf numFmtId="0" fontId="53" fillId="5" borderId="27" xfId="0" applyFont="1" applyFill="1" applyBorder="1" applyAlignment="1">
      <alignment horizontal="center"/>
    </xf>
    <xf numFmtId="0" fontId="0" fillId="3" borderId="0" xfId="0" applyFill="1" applyAlignment="1">
      <alignment horizontal="left" vertical="center"/>
    </xf>
    <xf numFmtId="0" fontId="0" fillId="3" borderId="0" xfId="0" applyFill="1" applyAlignment="1">
      <alignment horizontal="center" vertical="center"/>
    </xf>
    <xf numFmtId="0" fontId="32" fillId="0" borderId="0" xfId="0" applyFont="1" applyAlignment="1">
      <alignment horizontal="left" vertical="center"/>
    </xf>
    <xf numFmtId="0" fontId="60" fillId="7" borderId="0" xfId="141" applyFont="1" applyFill="1"/>
    <xf numFmtId="0" fontId="61" fillId="7" borderId="0" xfId="141" applyFont="1" applyFill="1"/>
    <xf numFmtId="0" fontId="60" fillId="7" borderId="0" xfId="141" applyFont="1" applyFill="1" applyAlignment="1">
      <alignment horizontal="right"/>
    </xf>
    <xf numFmtId="0" fontId="34" fillId="8" borderId="0" xfId="141" applyFont="1" applyFill="1"/>
    <xf numFmtId="0" fontId="34" fillId="9" borderId="5" xfId="141" applyFont="1" applyFill="1" applyBorder="1" applyAlignment="1">
      <alignment horizontal="center"/>
    </xf>
    <xf numFmtId="0" fontId="34" fillId="9" borderId="6" xfId="141" applyFont="1" applyFill="1" applyBorder="1" applyAlignment="1">
      <alignment horizontal="center"/>
    </xf>
    <xf numFmtId="0" fontId="34" fillId="9" borderId="7" xfId="141" applyFont="1" applyFill="1" applyBorder="1" applyAlignment="1">
      <alignment horizontal="center"/>
    </xf>
    <xf numFmtId="0" fontId="34" fillId="10" borderId="0" xfId="141" applyFont="1" applyFill="1"/>
    <xf numFmtId="0" fontId="34" fillId="8" borderId="0" xfId="141" applyFont="1" applyFill="1" applyAlignment="1">
      <alignment horizontal="right"/>
    </xf>
    <xf numFmtId="0" fontId="35" fillId="11" borderId="5" xfId="141" applyFont="1" applyFill="1" applyBorder="1" applyAlignment="1">
      <alignment horizontal="center"/>
    </xf>
    <xf numFmtId="0" fontId="35" fillId="11" borderId="7" xfId="141" applyFont="1" applyFill="1" applyBorder="1" applyAlignment="1">
      <alignment horizontal="center"/>
    </xf>
    <xf numFmtId="0" fontId="62" fillId="9" borderId="2" xfId="142" applyFont="1" applyFill="1" applyBorder="1" applyAlignment="1">
      <alignment horizontal="center"/>
    </xf>
    <xf numFmtId="0" fontId="34" fillId="9" borderId="3" xfId="104" applyFont="1" applyFill="1" applyBorder="1" applyAlignment="1">
      <alignment horizontal="center"/>
    </xf>
    <xf numFmtId="0" fontId="34" fillId="9" borderId="4" xfId="104" applyFont="1" applyFill="1" applyBorder="1" applyAlignment="1">
      <alignment horizontal="center"/>
    </xf>
    <xf numFmtId="0" fontId="63" fillId="10" borderId="0" xfId="142" applyFont="1" applyFill="1"/>
    <xf numFmtId="0" fontId="64" fillId="0" borderId="0" xfId="161" applyFont="1"/>
    <xf numFmtId="0" fontId="25" fillId="0" borderId="0" xfId="162" applyAlignment="1">
      <alignment horizontal="left"/>
    </xf>
    <xf numFmtId="0" fontId="65" fillId="0" borderId="0" xfId="162" quotePrefix="1" applyFont="1" applyFill="1" applyBorder="1"/>
    <xf numFmtId="0" fontId="25" fillId="0" borderId="0" xfId="162"/>
    <xf numFmtId="0" fontId="25" fillId="0" borderId="0" xfId="162" applyAlignment="1">
      <alignment horizontal="center"/>
    </xf>
    <xf numFmtId="0" fontId="64" fillId="0" borderId="0" xfId="161" applyFont="1" applyFill="1" applyBorder="1"/>
    <xf numFmtId="0" fontId="66" fillId="0" borderId="0" xfId="161" applyFont="1" applyFill="1" applyBorder="1"/>
    <xf numFmtId="0" fontId="64" fillId="0" borderId="0" xfId="161" applyFont="1" applyAlignment="1">
      <alignment horizontal="center"/>
    </xf>
    <xf numFmtId="0" fontId="66" fillId="0" borderId="0" xfId="161" applyFont="1"/>
    <xf numFmtId="0" fontId="27" fillId="4" borderId="0" xfId="161" applyFont="1" applyFill="1"/>
    <xf numFmtId="0" fontId="27" fillId="4" borderId="0" xfId="161" applyFont="1" applyFill="1" applyAlignment="1">
      <alignment horizontal="center"/>
    </xf>
    <xf numFmtId="0" fontId="67" fillId="4" borderId="0" xfId="161" applyFont="1" applyFill="1" applyAlignment="1">
      <alignment horizontal="left" vertical="center"/>
    </xf>
    <xf numFmtId="0" fontId="64" fillId="0" borderId="0" xfId="162" applyFont="1"/>
    <xf numFmtId="0" fontId="64" fillId="0" borderId="0" xfId="162" applyFont="1" applyFill="1" applyBorder="1"/>
    <xf numFmtId="0" fontId="64" fillId="0" borderId="0" xfId="162" quotePrefix="1" applyFont="1" applyFill="1" applyBorder="1"/>
    <xf numFmtId="0" fontId="68" fillId="0" borderId="0" xfId="162" applyFont="1" applyFill="1" applyBorder="1"/>
    <xf numFmtId="0" fontId="68" fillId="0" borderId="0" xfId="162" applyFont="1"/>
    <xf numFmtId="0" fontId="65" fillId="0" borderId="0" xfId="162" quotePrefix="1" applyFont="1"/>
    <xf numFmtId="0" fontId="27" fillId="4" borderId="0" xfId="161" applyFont="1" applyFill="1" applyAlignment="1">
      <alignment horizontal="left"/>
    </xf>
    <xf numFmtId="0" fontId="69" fillId="0" borderId="0" xfId="163" applyAlignment="1">
      <alignment horizontal="center" vertical="center"/>
    </xf>
    <xf numFmtId="0" fontId="69" fillId="0" borderId="0" xfId="163" applyAlignment="1">
      <alignment horizontal="left" vertical="center"/>
    </xf>
    <xf numFmtId="0" fontId="32" fillId="7" borderId="0" xfId="161" applyFont="1" applyFill="1" applyAlignment="1">
      <alignment vertical="center"/>
    </xf>
    <xf numFmtId="0" fontId="67" fillId="3" borderId="0" xfId="161" applyFont="1" applyFill="1" applyAlignment="1">
      <alignment vertical="center"/>
    </xf>
    <xf numFmtId="0" fontId="67" fillId="3" borderId="0" xfId="161" applyFont="1" applyFill="1" applyAlignment="1">
      <alignment horizontal="right" vertical="center"/>
    </xf>
    <xf numFmtId="0" fontId="0" fillId="23" borderId="0" xfId="0" applyFill="1"/>
    <xf numFmtId="0" fontId="0" fillId="23" borderId="0" xfId="0" applyFill="1" applyAlignment="1">
      <alignment horizontal="center"/>
    </xf>
    <xf numFmtId="0" fontId="27" fillId="24" borderId="0" xfId="0" applyFont="1" applyFill="1" applyAlignment="1">
      <alignment horizontal="center"/>
    </xf>
    <xf numFmtId="0" fontId="70" fillId="5" borderId="0" xfId="0" applyFont="1" applyFill="1" applyAlignment="1">
      <alignment horizontal="center"/>
    </xf>
    <xf numFmtId="1" fontId="34" fillId="23" borderId="8" xfId="141" applyNumberFormat="1" applyFont="1" applyFill="1" applyBorder="1" applyAlignment="1">
      <alignment horizontal="center"/>
    </xf>
    <xf numFmtId="0" fontId="34" fillId="23" borderId="0" xfId="141" applyFont="1" applyFill="1" applyBorder="1" applyAlignment="1">
      <alignment horizontal="left"/>
    </xf>
    <xf numFmtId="1" fontId="34" fillId="23" borderId="0" xfId="141" applyNumberFormat="1" applyFont="1" applyFill="1" applyBorder="1" applyAlignment="1">
      <alignment horizontal="left"/>
    </xf>
    <xf numFmtId="1" fontId="34" fillId="23" borderId="10" xfId="141" applyNumberFormat="1" applyFont="1" applyFill="1" applyBorder="1" applyAlignment="1">
      <alignment horizontal="center"/>
    </xf>
    <xf numFmtId="0" fontId="34" fillId="23" borderId="11" xfId="141" applyFont="1" applyFill="1" applyBorder="1" applyAlignment="1">
      <alignment horizontal="left"/>
    </xf>
    <xf numFmtId="1" fontId="34" fillId="23" borderId="11" xfId="141" applyNumberFormat="1" applyFont="1" applyFill="1" applyBorder="1" applyAlignment="1">
      <alignment horizontal="left"/>
    </xf>
    <xf numFmtId="0" fontId="34" fillId="23" borderId="11" xfId="141" quotePrefix="1" applyFont="1" applyFill="1" applyBorder="1" applyAlignment="1">
      <alignment horizontal="left"/>
    </xf>
    <xf numFmtId="0" fontId="34" fillId="23" borderId="2" xfId="141" applyFont="1" applyFill="1" applyBorder="1" applyAlignment="1">
      <alignment horizontal="center"/>
    </xf>
    <xf numFmtId="0" fontId="34" fillId="23" borderId="4" xfId="141" applyFont="1" applyFill="1" applyBorder="1" applyAlignment="1">
      <alignment horizontal="center"/>
    </xf>
    <xf numFmtId="0" fontId="34" fillId="23" borderId="9" xfId="141" applyFont="1" applyFill="1" applyBorder="1" applyAlignment="1">
      <alignment horizontal="center"/>
    </xf>
    <xf numFmtId="0" fontId="34" fillId="23" borderId="12" xfId="141" applyFont="1" applyFill="1" applyBorder="1" applyAlignment="1">
      <alignment horizontal="center"/>
    </xf>
    <xf numFmtId="0" fontId="34" fillId="5" borderId="0" xfId="141" applyFont="1" applyFill="1" applyBorder="1" applyAlignment="1">
      <alignment horizontal="left"/>
    </xf>
    <xf numFmtId="0" fontId="34" fillId="5" borderId="11" xfId="141" quotePrefix="1" applyFont="1" applyFill="1" applyBorder="1" applyAlignment="1">
      <alignment horizontal="left"/>
    </xf>
    <xf numFmtId="0" fontId="34" fillId="5" borderId="2" xfId="141" applyFont="1" applyFill="1" applyBorder="1"/>
    <xf numFmtId="0" fontId="34" fillId="5" borderId="3" xfId="141" applyFont="1" applyFill="1" applyBorder="1"/>
    <xf numFmtId="0" fontId="34" fillId="5" borderId="4" xfId="141" applyFont="1" applyFill="1" applyBorder="1"/>
    <xf numFmtId="0" fontId="34" fillId="25" borderId="8" xfId="141" applyFont="1" applyFill="1" applyBorder="1" applyAlignment="1">
      <alignment horizontal="right"/>
    </xf>
    <xf numFmtId="0" fontId="34" fillId="25" borderId="9" xfId="141" applyFont="1" applyFill="1" applyBorder="1" applyAlignment="1">
      <alignment horizontal="right"/>
    </xf>
    <xf numFmtId="0" fontId="34" fillId="8" borderId="8" xfId="141" applyFont="1" applyFill="1" applyBorder="1" applyAlignment="1">
      <alignment horizontal="right"/>
    </xf>
    <xf numFmtId="0" fontId="34" fillId="8" borderId="9" xfId="141" applyFont="1" applyFill="1" applyBorder="1" applyAlignment="1">
      <alignment horizontal="right"/>
    </xf>
    <xf numFmtId="0" fontId="34" fillId="8" borderId="10" xfId="141" applyFont="1" applyFill="1" applyBorder="1" applyAlignment="1">
      <alignment horizontal="right"/>
    </xf>
    <xf numFmtId="0" fontId="34" fillId="8" borderId="12" xfId="141" applyFont="1" applyFill="1" applyBorder="1" applyAlignment="1">
      <alignment horizontal="right"/>
    </xf>
    <xf numFmtId="0" fontId="64" fillId="23" borderId="0" xfId="162" applyFont="1" applyFill="1"/>
    <xf numFmtId="0" fontId="64" fillId="26" borderId="0" xfId="162" applyFont="1" applyFill="1"/>
    <xf numFmtId="0" fontId="64" fillId="24" borderId="0" xfId="162" applyFont="1" applyFill="1"/>
    <xf numFmtId="0" fontId="64" fillId="0" borderId="0" xfId="162" applyFont="1" applyFill="1"/>
    <xf numFmtId="0" fontId="64" fillId="23" borderId="0" xfId="162" applyFont="1" applyFill="1" applyAlignment="1">
      <alignment horizontal="center"/>
    </xf>
    <xf numFmtId="0" fontId="27" fillId="24" borderId="0" xfId="0" applyFont="1" applyFill="1"/>
    <xf numFmtId="0" fontId="53" fillId="23" borderId="19" xfId="112" applyFont="1" applyFill="1" applyBorder="1" applyAlignment="1">
      <alignment horizontal="center"/>
    </xf>
    <xf numFmtId="0" fontId="53" fillId="0" borderId="0" xfId="0" applyFont="1" applyFill="1"/>
    <xf numFmtId="0" fontId="53" fillId="23" borderId="15" xfId="0" applyFont="1" applyFill="1" applyBorder="1"/>
    <xf numFmtId="0" fontId="29" fillId="24" borderId="15" xfId="0" applyFont="1" applyFill="1" applyBorder="1" applyAlignment="1">
      <alignment horizontal="center"/>
    </xf>
    <xf numFmtId="0" fontId="53" fillId="5" borderId="15" xfId="0" applyFont="1" applyFill="1" applyBorder="1" applyAlignment="1">
      <alignment horizontal="center"/>
    </xf>
    <xf numFmtId="0" fontId="53" fillId="23" borderId="24" xfId="0" applyFont="1" applyFill="1" applyBorder="1"/>
    <xf numFmtId="0" fontId="29" fillId="24" borderId="24" xfId="0" applyFont="1" applyFill="1" applyBorder="1" applyAlignment="1">
      <alignment horizontal="center"/>
    </xf>
    <xf numFmtId="0" fontId="53" fillId="23" borderId="27" xfId="0" applyFont="1" applyFill="1" applyBorder="1"/>
    <xf numFmtId="0" fontId="29" fillId="24" borderId="27" xfId="0" applyFont="1" applyFill="1" applyBorder="1" applyAlignment="1">
      <alignment horizontal="center"/>
    </xf>
    <xf numFmtId="0" fontId="53" fillId="5" borderId="15" xfId="112" applyFont="1" applyFill="1" applyBorder="1" applyAlignment="1">
      <alignment horizontal="left"/>
    </xf>
    <xf numFmtId="0" fontId="53" fillId="5" borderId="15" xfId="112" applyFont="1" applyFill="1" applyBorder="1"/>
    <xf numFmtId="0" fontId="53" fillId="5" borderId="24" xfId="112" applyFont="1" applyFill="1" applyBorder="1" applyAlignment="1">
      <alignment horizontal="left"/>
    </xf>
    <xf numFmtId="0" fontId="53" fillId="5" borderId="24" xfId="112" applyFont="1" applyFill="1" applyBorder="1"/>
    <xf numFmtId="0" fontId="53" fillId="5" borderId="27" xfId="112" applyFont="1" applyFill="1" applyBorder="1" applyAlignment="1">
      <alignment horizontal="left"/>
    </xf>
    <xf numFmtId="0" fontId="53" fillId="5" borderId="27" xfId="112" applyFont="1" applyFill="1" applyBorder="1"/>
    <xf numFmtId="0" fontId="0" fillId="23" borderId="0" xfId="0" applyFill="1" applyAlignment="1">
      <alignment horizontal="center" vertical="center"/>
    </xf>
    <xf numFmtId="0" fontId="27" fillId="24" borderId="0" xfId="0" applyFont="1" applyFill="1" applyAlignment="1">
      <alignment horizontal="center" vertical="center"/>
    </xf>
    <xf numFmtId="0" fontId="0" fillId="23" borderId="0" xfId="0" applyFill="1" applyAlignment="1">
      <alignment horizontal="left" vertical="center"/>
    </xf>
    <xf numFmtId="3" fontId="0" fillId="23" borderId="0" xfId="0" applyNumberFormat="1" applyFill="1" applyAlignment="1">
      <alignment horizontal="center"/>
    </xf>
    <xf numFmtId="9" fontId="0" fillId="23" borderId="0" xfId="0" applyNumberFormat="1" applyFill="1" applyAlignment="1">
      <alignment horizontal="center" vertical="center"/>
    </xf>
    <xf numFmtId="182" fontId="0" fillId="23" borderId="0" xfId="0" applyNumberFormat="1" applyFill="1" applyAlignment="1">
      <alignment horizontal="center" vertical="center"/>
    </xf>
    <xf numFmtId="0" fontId="67" fillId="3" borderId="0" xfId="103" applyFont="1" applyFill="1"/>
    <xf numFmtId="0" fontId="27" fillId="3" borderId="0" xfId="103" applyFont="1" applyFill="1"/>
    <xf numFmtId="0" fontId="57" fillId="0" borderId="0" xfId="164" applyFont="1"/>
    <xf numFmtId="0" fontId="57" fillId="0" borderId="0" xfId="164" applyFont="1" applyFill="1" applyBorder="1"/>
    <xf numFmtId="0" fontId="78" fillId="0" borderId="0" xfId="163" applyFont="1" applyAlignment="1">
      <alignment horizontal="left" vertical="center"/>
    </xf>
    <xf numFmtId="0" fontId="78" fillId="0" borderId="0" xfId="163" applyFont="1" applyAlignment="1">
      <alignment horizontal="center" vertical="center"/>
    </xf>
    <xf numFmtId="0" fontId="57" fillId="0" borderId="0" xfId="103" applyFont="1"/>
    <xf numFmtId="0" fontId="27" fillId="4" borderId="0" xfId="103" applyFont="1" applyFill="1" applyAlignment="1">
      <alignment horizontal="left"/>
    </xf>
    <xf numFmtId="0" fontId="27" fillId="4" borderId="0" xfId="103" applyFont="1" applyFill="1"/>
    <xf numFmtId="0" fontId="27" fillId="4" borderId="0" xfId="103" applyFont="1" applyFill="1" applyAlignment="1">
      <alignment horizontal="center"/>
    </xf>
    <xf numFmtId="0" fontId="32" fillId="0" borderId="0" xfId="103" applyFont="1"/>
    <xf numFmtId="0" fontId="58" fillId="0" borderId="0" xfId="103" applyFont="1"/>
    <xf numFmtId="0" fontId="57" fillId="23" borderId="0" xfId="103" applyFont="1" applyFill="1"/>
    <xf numFmtId="0" fontId="62" fillId="0" borderId="0" xfId="103" quotePrefix="1" applyFont="1"/>
    <xf numFmtId="0" fontId="57" fillId="5" borderId="0" xfId="103" applyFont="1" applyFill="1"/>
    <xf numFmtId="0" fontId="27" fillId="26" borderId="0" xfId="103" applyFont="1" applyFill="1"/>
    <xf numFmtId="0" fontId="27" fillId="24" borderId="0" xfId="103" applyFont="1" applyFill="1"/>
    <xf numFmtId="0" fontId="62" fillId="0" borderId="0" xfId="103" applyFont="1"/>
    <xf numFmtId="0" fontId="62" fillId="0" borderId="0" xfId="103" applyFont="1" applyFill="1"/>
    <xf numFmtId="0" fontId="58" fillId="0" borderId="0" xfId="103" applyFont="1" applyFill="1" applyAlignment="1">
      <alignment horizontal="right"/>
    </xf>
    <xf numFmtId="1" fontId="58" fillId="0" borderId="0" xfId="103" applyNumberFormat="1" applyFont="1" applyFill="1"/>
    <xf numFmtId="0" fontId="67" fillId="4" borderId="0" xfId="103" applyFont="1" applyFill="1" applyAlignment="1">
      <alignment vertical="center"/>
    </xf>
    <xf numFmtId="0" fontId="27" fillId="4" borderId="0" xfId="103" applyFont="1" applyFill="1" applyAlignment="1">
      <alignment vertical="center"/>
    </xf>
    <xf numFmtId="0" fontId="62" fillId="4" borderId="0" xfId="103" applyFont="1" applyFill="1"/>
    <xf numFmtId="9" fontId="62" fillId="0" borderId="0" xfId="126" applyFont="1"/>
    <xf numFmtId="0" fontId="57" fillId="23" borderId="0" xfId="103" applyNumberFormat="1" applyFont="1" applyFill="1" applyAlignment="1">
      <alignment horizontal="center"/>
    </xf>
    <xf numFmtId="0" fontId="62" fillId="0" borderId="0" xfId="103" applyNumberFormat="1" applyFont="1"/>
    <xf numFmtId="0" fontId="27" fillId="28" borderId="0" xfId="103" applyFont="1" applyFill="1"/>
    <xf numFmtId="0" fontId="67" fillId="28" borderId="0" xfId="103" applyFont="1" applyFill="1" applyAlignment="1">
      <alignment vertical="center"/>
    </xf>
    <xf numFmtId="0" fontId="27" fillId="28" borderId="0" xfId="103" applyFont="1" applyFill="1" applyAlignment="1">
      <alignment vertical="center"/>
    </xf>
    <xf numFmtId="0" fontId="0" fillId="23" borderId="0" xfId="103" applyFont="1" applyFill="1" applyAlignment="1">
      <alignment horizontal="center"/>
    </xf>
    <xf numFmtId="0" fontId="62" fillId="3" borderId="0" xfId="0" applyFont="1" applyFill="1" applyAlignment="1">
      <alignment horizontal="left" vertical="center"/>
    </xf>
    <xf numFmtId="0" fontId="62" fillId="0" borderId="0" xfId="0" applyFont="1" applyFill="1" applyBorder="1" applyAlignment="1">
      <alignment horizontal="left" vertical="center"/>
    </xf>
    <xf numFmtId="0" fontId="62" fillId="3" borderId="0" xfId="0" applyFont="1" applyFill="1" applyAlignment="1">
      <alignment horizontal="center" vertical="center"/>
    </xf>
    <xf numFmtId="0" fontId="62" fillId="0" borderId="0" xfId="0" applyFont="1" applyFill="1" applyBorder="1" applyAlignment="1">
      <alignment horizontal="center" vertical="center"/>
    </xf>
    <xf numFmtId="3" fontId="62" fillId="0" borderId="0" xfId="0" applyNumberFormat="1" applyFont="1" applyFill="1" applyBorder="1" applyAlignment="1">
      <alignment horizontal="center" vertical="center"/>
    </xf>
    <xf numFmtId="2" fontId="62" fillId="0" borderId="0" xfId="0" applyNumberFormat="1" applyFont="1" applyFill="1" applyBorder="1" applyAlignment="1">
      <alignment horizontal="center" vertical="center"/>
    </xf>
    <xf numFmtId="182" fontId="62" fillId="0" borderId="0" xfId="0" applyNumberFormat="1" applyFont="1" applyFill="1" applyBorder="1" applyAlignment="1">
      <alignment horizontal="center" vertical="center"/>
    </xf>
    <xf numFmtId="3" fontId="29" fillId="24" borderId="15" xfId="0" applyNumberFormat="1" applyFont="1" applyFill="1" applyBorder="1" applyAlignment="1">
      <alignment horizontal="center"/>
    </xf>
    <xf numFmtId="3" fontId="29" fillId="24" borderId="24" xfId="0" applyNumberFormat="1" applyFont="1" applyFill="1" applyBorder="1" applyAlignment="1">
      <alignment horizontal="center"/>
    </xf>
    <xf numFmtId="6" fontId="29" fillId="24" borderId="24" xfId="0" applyNumberFormat="1" applyFont="1" applyFill="1" applyBorder="1" applyAlignment="1">
      <alignment horizontal="center"/>
    </xf>
    <xf numFmtId="0" fontId="78" fillId="0" borderId="0" xfId="163" applyFont="1" applyFill="1" applyBorder="1"/>
    <xf numFmtId="0" fontId="78" fillId="0" borderId="0" xfId="163" applyFont="1"/>
    <xf numFmtId="0" fontId="86" fillId="8" borderId="0" xfId="0" applyFont="1" applyFill="1" applyBorder="1" applyAlignment="1" applyProtection="1">
      <alignment vertical="top"/>
    </xf>
    <xf numFmtId="0" fontId="86" fillId="8" borderId="0" xfId="0" applyFont="1" applyFill="1" applyBorder="1" applyAlignment="1" applyProtection="1">
      <alignment horizontal="center" vertical="center"/>
    </xf>
    <xf numFmtId="0" fontId="77" fillId="8" borderId="0" xfId="0" applyFont="1" applyFill="1" applyBorder="1" applyAlignment="1" applyProtection="1">
      <alignment horizontal="center" vertical="center"/>
    </xf>
    <xf numFmtId="0" fontId="80" fillId="8" borderId="20" xfId="0" applyFont="1" applyFill="1" applyBorder="1" applyAlignment="1" applyProtection="1">
      <alignment vertical="center"/>
    </xf>
    <xf numFmtId="0" fontId="77" fillId="8" borderId="20" xfId="0" applyFont="1" applyFill="1" applyBorder="1" applyAlignment="1" applyProtection="1">
      <alignment horizontal="center" vertical="center"/>
    </xf>
    <xf numFmtId="0" fontId="80" fillId="8" borderId="0" xfId="0" applyFont="1" applyFill="1" applyBorder="1" applyAlignment="1" applyProtection="1">
      <alignment horizontal="center" vertical="center"/>
    </xf>
    <xf numFmtId="0" fontId="80" fillId="8" borderId="20" xfId="0" applyFont="1" applyFill="1" applyBorder="1" applyAlignment="1" applyProtection="1">
      <alignment horizontal="center"/>
    </xf>
    <xf numFmtId="0" fontId="75" fillId="8" borderId="0" xfId="0" applyFont="1" applyFill="1" applyAlignment="1" applyProtection="1">
      <alignment vertical="center"/>
    </xf>
    <xf numFmtId="0" fontId="82" fillId="0" borderId="0" xfId="0" applyFont="1" applyProtection="1"/>
    <xf numFmtId="0" fontId="87" fillId="8" borderId="0" xfId="0" applyFont="1" applyFill="1" applyAlignment="1" applyProtection="1">
      <alignment horizontal="center" vertical="center"/>
    </xf>
    <xf numFmtId="0" fontId="75" fillId="8" borderId="0" xfId="0" applyFont="1" applyFill="1" applyBorder="1" applyAlignment="1" applyProtection="1">
      <alignment vertical="center"/>
    </xf>
    <xf numFmtId="0" fontId="73" fillId="8" borderId="0" xfId="0" applyFont="1" applyFill="1" applyAlignment="1" applyProtection="1">
      <alignment vertical="center"/>
    </xf>
    <xf numFmtId="0" fontId="88" fillId="8" borderId="0" xfId="0" applyFont="1" applyFill="1" applyBorder="1" applyAlignment="1" applyProtection="1">
      <alignment vertical="top"/>
    </xf>
    <xf numFmtId="0" fontId="89" fillId="8" borderId="0" xfId="0" applyFont="1" applyFill="1" applyBorder="1" applyAlignment="1" applyProtection="1">
      <alignment horizontal="center" vertical="center"/>
    </xf>
    <xf numFmtId="0" fontId="76" fillId="8" borderId="0" xfId="0" applyFont="1" applyFill="1" applyAlignment="1" applyProtection="1">
      <alignment vertical="center"/>
    </xf>
    <xf numFmtId="0" fontId="90" fillId="8" borderId="0" xfId="0" applyFont="1" applyFill="1" applyAlignment="1" applyProtection="1">
      <alignment vertical="center"/>
    </xf>
    <xf numFmtId="0" fontId="76" fillId="8" borderId="0" xfId="0" applyFont="1" applyFill="1" applyAlignment="1" applyProtection="1">
      <alignment horizontal="center" vertical="center"/>
    </xf>
    <xf numFmtId="0" fontId="76" fillId="8" borderId="0" xfId="0" applyFont="1" applyFill="1" applyBorder="1" applyAlignment="1" applyProtection="1">
      <alignment vertical="center"/>
    </xf>
    <xf numFmtId="0" fontId="76" fillId="8" borderId="0" xfId="0" applyFont="1" applyFill="1" applyProtection="1"/>
    <xf numFmtId="0" fontId="76" fillId="8" borderId="0" xfId="0" applyFont="1" applyFill="1" applyAlignment="1" applyProtection="1">
      <alignment horizontal="left" vertical="center"/>
    </xf>
    <xf numFmtId="2" fontId="91" fillId="8" borderId="0" xfId="0" applyNumberFormat="1" applyFont="1" applyFill="1" applyBorder="1" applyAlignment="1" applyProtection="1">
      <alignment horizontal="center" vertical="center"/>
    </xf>
    <xf numFmtId="0" fontId="76" fillId="8" borderId="22" xfId="0" applyFont="1" applyFill="1" applyBorder="1" applyAlignment="1" applyProtection="1">
      <alignment vertical="center"/>
    </xf>
    <xf numFmtId="0" fontId="92" fillId="8" borderId="0" xfId="0" applyFont="1" applyFill="1" applyAlignment="1" applyProtection="1">
      <alignment vertical="center"/>
    </xf>
    <xf numFmtId="0" fontId="93" fillId="8" borderId="0" xfId="0" applyFont="1" applyFill="1" applyAlignment="1" applyProtection="1">
      <alignment vertical="center"/>
    </xf>
    <xf numFmtId="0" fontId="79" fillId="8" borderId="0" xfId="0" applyFont="1" applyFill="1" applyAlignment="1" applyProtection="1">
      <alignment horizontal="center" vertical="center"/>
    </xf>
    <xf numFmtId="9" fontId="79" fillId="0" borderId="0" xfId="0" applyNumberFormat="1" applyFont="1" applyFill="1" applyBorder="1" applyAlignment="1" applyProtection="1">
      <alignment horizontal="center" vertical="center"/>
    </xf>
    <xf numFmtId="0" fontId="76" fillId="0" borderId="0" xfId="0" applyFont="1" applyFill="1" applyBorder="1" applyAlignment="1" applyProtection="1">
      <alignment vertical="center"/>
    </xf>
    <xf numFmtId="9" fontId="79" fillId="8" borderId="0" xfId="0" applyNumberFormat="1" applyFont="1" applyFill="1" applyBorder="1" applyAlignment="1" applyProtection="1">
      <alignment horizontal="center" vertical="center"/>
    </xf>
    <xf numFmtId="9" fontId="79" fillId="8" borderId="0" xfId="0" applyNumberFormat="1" applyFont="1" applyFill="1" applyAlignment="1" applyProtection="1">
      <alignment horizontal="center" vertical="center"/>
    </xf>
    <xf numFmtId="0" fontId="91" fillId="8" borderId="0" xfId="0" applyFont="1" applyFill="1" applyAlignment="1" applyProtection="1">
      <alignment horizontal="center" vertical="center"/>
    </xf>
    <xf numFmtId="0" fontId="91" fillId="8" borderId="0" xfId="0" applyFont="1" applyFill="1" applyAlignment="1" applyProtection="1">
      <alignment horizontal="left" vertical="center" indent="16"/>
    </xf>
    <xf numFmtId="3" fontId="62" fillId="0" borderId="0" xfId="140" applyNumberFormat="1" applyFont="1" applyFill="1" applyBorder="1" applyAlignment="1">
      <alignment horizontal="center" vertical="center"/>
    </xf>
    <xf numFmtId="0" fontId="62" fillId="0" borderId="0" xfId="103" applyFont="1" applyFill="1" applyAlignment="1">
      <alignment horizontal="left"/>
    </xf>
    <xf numFmtId="0" fontId="62" fillId="23" borderId="0" xfId="103" applyFont="1" applyFill="1" applyAlignment="1">
      <alignment horizontal="center"/>
    </xf>
    <xf numFmtId="0" fontId="57" fillId="5" borderId="0" xfId="103" applyFont="1" applyFill="1" applyAlignment="1">
      <alignment horizontal="center"/>
    </xf>
    <xf numFmtId="0" fontId="96" fillId="8" borderId="0" xfId="0" applyFont="1" applyFill="1" applyAlignment="1" applyProtection="1">
      <alignment vertical="center"/>
    </xf>
    <xf numFmtId="0" fontId="91" fillId="8" borderId="0" xfId="0" applyFont="1" applyFill="1" applyAlignment="1" applyProtection="1">
      <alignment horizontal="left" vertical="center"/>
    </xf>
    <xf numFmtId="0" fontId="82" fillId="8" borderId="0" xfId="0" applyFont="1" applyFill="1" applyProtection="1"/>
    <xf numFmtId="0" fontId="91" fillId="8" borderId="0" xfId="0" applyFont="1" applyFill="1" applyAlignment="1" applyProtection="1">
      <alignment horizontal="left" vertical="center" indent="10"/>
    </xf>
    <xf numFmtId="0" fontId="91" fillId="8" borderId="0" xfId="0" applyFont="1" applyFill="1" applyBorder="1" applyAlignment="1" applyProtection="1">
      <alignment horizontal="left" vertical="center" indent="10"/>
    </xf>
    <xf numFmtId="0" fontId="95" fillId="8" borderId="0" xfId="0" applyFont="1" applyFill="1"/>
    <xf numFmtId="9" fontId="62" fillId="0" borderId="0" xfId="0" applyNumberFormat="1" applyFont="1" applyFill="1" applyBorder="1" applyAlignment="1">
      <alignment horizontal="center" vertical="center"/>
    </xf>
    <xf numFmtId="9" fontId="62" fillId="0" borderId="0" xfId="140" applyFont="1" applyFill="1" applyBorder="1" applyAlignment="1">
      <alignment horizontal="center" vertical="center"/>
    </xf>
    <xf numFmtId="0" fontId="72" fillId="8" borderId="0" xfId="0" applyFont="1" applyFill="1" applyBorder="1" applyAlignment="1" applyProtection="1">
      <alignment horizontal="center" vertical="center"/>
    </xf>
    <xf numFmtId="0" fontId="73" fillId="8" borderId="0" xfId="0" applyFont="1" applyFill="1" applyBorder="1" applyAlignment="1" applyProtection="1">
      <alignment horizontal="center" vertical="center"/>
    </xf>
    <xf numFmtId="0" fontId="72" fillId="0" borderId="0" xfId="0" applyFont="1" applyBorder="1" applyProtection="1"/>
    <xf numFmtId="0" fontId="72" fillId="0" borderId="0" xfId="0" applyFont="1" applyProtection="1"/>
    <xf numFmtId="0" fontId="79" fillId="8" borderId="0" xfId="0" applyFont="1" applyFill="1" applyAlignment="1" applyProtection="1">
      <alignment vertical="center"/>
    </xf>
    <xf numFmtId="0" fontId="91" fillId="8" borderId="0" xfId="0" applyFont="1" applyFill="1" applyBorder="1" applyAlignment="1" applyProtection="1">
      <alignment horizontal="center" vertical="center"/>
    </xf>
    <xf numFmtId="0" fontId="91" fillId="8" borderId="22" xfId="0" applyFont="1" applyFill="1" applyBorder="1" applyAlignment="1" applyProtection="1">
      <alignment horizontal="left" vertical="center" indent="10"/>
    </xf>
    <xf numFmtId="0" fontId="91" fillId="8" borderId="22" xfId="0" applyFont="1" applyFill="1" applyBorder="1" applyAlignment="1" applyProtection="1">
      <alignment horizontal="center" vertical="center"/>
    </xf>
    <xf numFmtId="0" fontId="73" fillId="8" borderId="22" xfId="0" applyFont="1" applyFill="1" applyBorder="1" applyAlignment="1" applyProtection="1">
      <alignment vertical="center"/>
    </xf>
    <xf numFmtId="0" fontId="79" fillId="8" borderId="0" xfId="0" applyFont="1" applyFill="1" applyBorder="1" applyAlignment="1" applyProtection="1">
      <alignment vertical="center"/>
    </xf>
    <xf numFmtId="6" fontId="79" fillId="8" borderId="0" xfId="0" applyNumberFormat="1" applyFont="1" applyFill="1" applyBorder="1" applyAlignment="1" applyProtection="1">
      <alignment horizontal="center" vertical="center"/>
    </xf>
    <xf numFmtId="0" fontId="76" fillId="8" borderId="0" xfId="0" applyFont="1" applyFill="1" applyBorder="1" applyAlignment="1" applyProtection="1">
      <alignment horizontal="left" vertical="center" indent="1"/>
    </xf>
    <xf numFmtId="0" fontId="73" fillId="8" borderId="0" xfId="0" applyFont="1" applyFill="1" applyBorder="1" applyAlignment="1" applyProtection="1">
      <alignment horizontal="left" vertical="center" indent="1"/>
    </xf>
    <xf numFmtId="0" fontId="76" fillId="8" borderId="0" xfId="0" applyFont="1" applyFill="1" applyBorder="1" applyAlignment="1" applyProtection="1">
      <alignment horizontal="center" vertical="center"/>
    </xf>
    <xf numFmtId="0" fontId="100" fillId="8" borderId="0" xfId="0" applyFont="1" applyFill="1" applyAlignment="1" applyProtection="1">
      <alignment vertical="center"/>
    </xf>
    <xf numFmtId="0" fontId="0" fillId="8" borderId="0" xfId="0" applyFont="1" applyFill="1"/>
    <xf numFmtId="0" fontId="100" fillId="8" borderId="0" xfId="0" applyFont="1" applyFill="1" applyAlignment="1" applyProtection="1">
      <alignment horizontal="left" vertical="center" indent="1"/>
    </xf>
    <xf numFmtId="0" fontId="100" fillId="8" borderId="0" xfId="0" applyFont="1" applyFill="1" applyBorder="1" applyAlignment="1" applyProtection="1">
      <alignment vertical="center"/>
    </xf>
    <xf numFmtId="0" fontId="76" fillId="8" borderId="30" xfId="0" applyFont="1" applyFill="1" applyBorder="1" applyAlignment="1" applyProtection="1">
      <alignment vertical="center"/>
    </xf>
    <xf numFmtId="0" fontId="75" fillId="8" borderId="31" xfId="0" applyFont="1" applyFill="1" applyBorder="1" applyAlignment="1" applyProtection="1">
      <alignment vertical="center"/>
    </xf>
    <xf numFmtId="0" fontId="76" fillId="8" borderId="31" xfId="0" applyFont="1" applyFill="1" applyBorder="1" applyAlignment="1" applyProtection="1">
      <alignment vertical="center"/>
    </xf>
    <xf numFmtId="2" fontId="91" fillId="8" borderId="30" xfId="0" applyNumberFormat="1" applyFont="1" applyFill="1" applyBorder="1" applyAlignment="1" applyProtection="1">
      <alignment horizontal="center" vertical="center"/>
    </xf>
    <xf numFmtId="0" fontId="75" fillId="8" borderId="30" xfId="0" applyFont="1" applyFill="1" applyBorder="1" applyAlignment="1" applyProtection="1">
      <alignment vertical="center"/>
    </xf>
    <xf numFmtId="2" fontId="81" fillId="8" borderId="30" xfId="0" applyNumberFormat="1" applyFont="1" applyFill="1" applyBorder="1" applyAlignment="1" applyProtection="1">
      <alignment horizontal="center" vertical="center"/>
    </xf>
    <xf numFmtId="0" fontId="75" fillId="8" borderId="32" xfId="0" applyFont="1" applyFill="1" applyBorder="1" applyAlignment="1" applyProtection="1">
      <alignment vertical="center"/>
    </xf>
    <xf numFmtId="0" fontId="86" fillId="8" borderId="33" xfId="0" applyFont="1" applyFill="1" applyBorder="1" applyAlignment="1" applyProtection="1">
      <alignment horizontal="center" vertical="center"/>
    </xf>
    <xf numFmtId="0" fontId="89" fillId="8" borderId="33" xfId="0" applyFont="1" applyFill="1" applyBorder="1" applyAlignment="1" applyProtection="1">
      <alignment horizontal="center" vertical="center"/>
    </xf>
    <xf numFmtId="9" fontId="79" fillId="5" borderId="0" xfId="0" applyNumberFormat="1" applyFont="1" applyFill="1" applyAlignment="1" applyProtection="1">
      <alignment horizontal="center" vertical="center"/>
    </xf>
    <xf numFmtId="0" fontId="76" fillId="8" borderId="0" xfId="0" applyFont="1" applyFill="1" applyBorder="1" applyAlignment="1" applyProtection="1">
      <alignment horizontal="left" vertical="center"/>
    </xf>
    <xf numFmtId="9" fontId="57" fillId="23" borderId="0" xfId="103" applyNumberFormat="1" applyFont="1" applyFill="1" applyAlignment="1">
      <alignment horizontal="center"/>
    </xf>
    <xf numFmtId="9" fontId="62" fillId="0" borderId="0" xfId="103" applyNumberFormat="1" applyFont="1"/>
    <xf numFmtId="0" fontId="0" fillId="0" borderId="0" xfId="103" applyFont="1" applyFill="1" applyAlignment="1">
      <alignment horizontal="center"/>
    </xf>
    <xf numFmtId="9" fontId="62" fillId="0" borderId="0" xfId="126" applyFont="1" applyFill="1"/>
    <xf numFmtId="0" fontId="57" fillId="0" borderId="0" xfId="103" applyNumberFormat="1" applyFont="1" applyFill="1" applyAlignment="1">
      <alignment horizontal="center"/>
    </xf>
    <xf numFmtId="0" fontId="62" fillId="3" borderId="0" xfId="103" applyFont="1" applyFill="1"/>
    <xf numFmtId="0" fontId="101" fillId="2" borderId="0" xfId="103" applyFont="1" applyFill="1"/>
    <xf numFmtId="0" fontId="101" fillId="27" borderId="0" xfId="103" applyFont="1" applyFill="1"/>
    <xf numFmtId="0" fontId="102" fillId="8" borderId="0" xfId="0" applyFont="1" applyFill="1" applyAlignment="1" applyProtection="1">
      <alignment vertical="center"/>
    </xf>
    <xf numFmtId="0" fontId="103" fillId="8" borderId="0" xfId="0" applyFont="1" applyFill="1" applyAlignment="1" applyProtection="1">
      <alignment horizontal="center" vertical="center"/>
    </xf>
    <xf numFmtId="0" fontId="104" fillId="8" borderId="0" xfId="0" applyFont="1" applyFill="1" applyAlignment="1" applyProtection="1">
      <alignment vertical="center"/>
    </xf>
    <xf numFmtId="0" fontId="105" fillId="8" borderId="0" xfId="0" applyFont="1" applyFill="1" applyAlignment="1" applyProtection="1">
      <alignment vertical="center"/>
    </xf>
    <xf numFmtId="0" fontId="106" fillId="8" borderId="0" xfId="0" applyFont="1" applyFill="1" applyAlignment="1" applyProtection="1">
      <alignment vertical="center"/>
    </xf>
    <xf numFmtId="0" fontId="107" fillId="8" borderId="0" xfId="0" applyFont="1" applyFill="1" applyAlignment="1" applyProtection="1">
      <alignment vertical="center"/>
    </xf>
    <xf numFmtId="0" fontId="108" fillId="8" borderId="0" xfId="0" applyFont="1" applyFill="1" applyAlignment="1" applyProtection="1">
      <alignment vertical="center"/>
    </xf>
    <xf numFmtId="0" fontId="88" fillId="8" borderId="20" xfId="0" applyFont="1" applyFill="1" applyBorder="1" applyAlignment="1" applyProtection="1">
      <alignment vertical="top"/>
    </xf>
    <xf numFmtId="0" fontId="0" fillId="8" borderId="0" xfId="0" applyFill="1"/>
    <xf numFmtId="0" fontId="0" fillId="8" borderId="19" xfId="0" applyFill="1" applyBorder="1"/>
    <xf numFmtId="0" fontId="0" fillId="2" borderId="19" xfId="0" applyFill="1" applyBorder="1"/>
    <xf numFmtId="0" fontId="0" fillId="27" borderId="19" xfId="0" applyFill="1" applyBorder="1"/>
    <xf numFmtId="0" fontId="94" fillId="8" borderId="0" xfId="0" applyFont="1" applyFill="1"/>
    <xf numFmtId="0" fontId="71" fillId="8" borderId="0" xfId="0" applyFont="1" applyFill="1"/>
    <xf numFmtId="0" fontId="27" fillId="24" borderId="0" xfId="0" applyNumberFormat="1" applyFont="1" applyFill="1" applyAlignment="1">
      <alignment horizontal="center" vertical="center"/>
    </xf>
    <xf numFmtId="0" fontId="0" fillId="23" borderId="0" xfId="0" applyNumberFormat="1" applyFill="1" applyAlignment="1">
      <alignment horizontal="center" vertical="center"/>
    </xf>
    <xf numFmtId="9" fontId="27" fillId="24" borderId="0" xfId="0" applyNumberFormat="1" applyFont="1" applyFill="1" applyAlignment="1">
      <alignment horizontal="center" vertical="center"/>
    </xf>
    <xf numFmtId="9" fontId="0" fillId="5" borderId="0" xfId="0" applyNumberFormat="1" applyFill="1" applyAlignment="1">
      <alignment horizontal="center" vertical="center"/>
    </xf>
    <xf numFmtId="0" fontId="56" fillId="0" borderId="0" xfId="0" applyFont="1" applyAlignment="1">
      <alignment horizontal="left" vertical="center"/>
    </xf>
    <xf numFmtId="0" fontId="0" fillId="0" borderId="0" xfId="0" applyFont="1" applyAlignment="1">
      <alignment horizontal="left" vertical="center"/>
    </xf>
    <xf numFmtId="0" fontId="57" fillId="0" borderId="0" xfId="166" applyFont="1"/>
    <xf numFmtId="0" fontId="62" fillId="0" borderId="0" xfId="166" applyFont="1"/>
    <xf numFmtId="0" fontId="62" fillId="0" borderId="0" xfId="166" applyFont="1" applyAlignment="1">
      <alignment vertical="center"/>
    </xf>
    <xf numFmtId="0" fontId="62" fillId="0" borderId="0" xfId="166" applyFont="1" applyAlignment="1">
      <alignment horizontal="center" vertical="center"/>
    </xf>
    <xf numFmtId="0" fontId="62" fillId="0" borderId="6" xfId="166" applyFont="1" applyBorder="1"/>
    <xf numFmtId="0" fontId="58" fillId="0" borderId="0" xfId="166" applyFont="1" applyAlignment="1">
      <alignment vertical="center"/>
    </xf>
    <xf numFmtId="179" fontId="62" fillId="0" borderId="0" xfId="167" applyNumberFormat="1" applyFont="1" applyAlignment="1">
      <alignment horizontal="center" vertical="center"/>
    </xf>
    <xf numFmtId="0" fontId="62" fillId="0" borderId="0" xfId="166" applyFont="1" applyAlignment="1">
      <alignment horizontal="right" vertical="center"/>
    </xf>
    <xf numFmtId="0" fontId="62" fillId="0" borderId="0" xfId="166" applyFont="1" applyAlignment="1">
      <alignment horizontal="left" vertical="center"/>
    </xf>
    <xf numFmtId="0" fontId="27" fillId="4" borderId="0" xfId="166" applyFont="1" applyFill="1"/>
    <xf numFmtId="0" fontId="27" fillId="4" borderId="0" xfId="166" applyFont="1" applyFill="1" applyAlignment="1">
      <alignment horizontal="center"/>
    </xf>
    <xf numFmtId="0" fontId="27" fillId="4" borderId="0" xfId="166" applyFont="1" applyFill="1" applyAlignment="1">
      <alignment horizontal="left"/>
    </xf>
    <xf numFmtId="0" fontId="57" fillId="5" borderId="0" xfId="166" applyFont="1" applyFill="1"/>
    <xf numFmtId="0" fontId="83" fillId="0" borderId="0" xfId="166" applyFont="1" applyAlignment="1">
      <alignment horizontal="left"/>
    </xf>
    <xf numFmtId="0" fontId="58" fillId="0" borderId="0" xfId="166" applyFont="1"/>
    <xf numFmtId="183" fontId="57" fillId="0" borderId="0" xfId="166" applyNumberFormat="1" applyFont="1"/>
    <xf numFmtId="183" fontId="62" fillId="0" borderId="0" xfId="166" applyNumberFormat="1" applyFont="1"/>
    <xf numFmtId="0" fontId="65" fillId="0" borderId="0" xfId="166" applyFont="1"/>
    <xf numFmtId="0" fontId="83" fillId="0" borderId="0" xfId="166" applyFont="1"/>
    <xf numFmtId="0" fontId="83" fillId="0" borderId="0" xfId="166" applyFont="1" applyAlignment="1">
      <alignment vertical="center"/>
    </xf>
    <xf numFmtId="0" fontId="62" fillId="0" borderId="0" xfId="169" applyFont="1"/>
    <xf numFmtId="181" fontId="62" fillId="15" borderId="0" xfId="169" applyNumberFormat="1" applyFont="1" applyFill="1" applyAlignment="1">
      <alignment horizontal="center" vertical="center"/>
    </xf>
    <xf numFmtId="179" fontId="62" fillId="5" borderId="11" xfId="167" applyNumberFormat="1" applyFont="1" applyFill="1" applyBorder="1" applyAlignment="1">
      <alignment vertical="top"/>
    </xf>
    <xf numFmtId="179" fontId="62" fillId="8" borderId="11" xfId="167" applyNumberFormat="1" applyFont="1" applyFill="1" applyBorder="1" applyAlignment="1">
      <alignment vertical="top"/>
    </xf>
    <xf numFmtId="0" fontId="62" fillId="8" borderId="10" xfId="166" applyFont="1" applyFill="1" applyBorder="1"/>
    <xf numFmtId="0" fontId="62" fillId="0" borderId="0" xfId="166" applyFont="1" applyFill="1" applyBorder="1"/>
    <xf numFmtId="41" fontId="62" fillId="30" borderId="9" xfId="170" applyFont="1" applyFill="1" applyBorder="1"/>
    <xf numFmtId="41" fontId="62" fillId="30" borderId="0" xfId="170" applyFont="1" applyFill="1" applyBorder="1"/>
    <xf numFmtId="0" fontId="62" fillId="30" borderId="0" xfId="166" applyFont="1" applyFill="1" applyBorder="1"/>
    <xf numFmtId="0" fontId="62" fillId="30" borderId="8" xfId="166" applyFont="1" applyFill="1" applyBorder="1"/>
    <xf numFmtId="9" fontId="62" fillId="15" borderId="0" xfId="167" applyFont="1" applyFill="1" applyBorder="1" applyAlignment="1"/>
    <xf numFmtId="0" fontId="62" fillId="0" borderId="0" xfId="166" applyFont="1" applyBorder="1"/>
    <xf numFmtId="0" fontId="62" fillId="0" borderId="8" xfId="166" applyFont="1" applyBorder="1"/>
    <xf numFmtId="179" fontId="62" fillId="23" borderId="0" xfId="167" applyNumberFormat="1" applyFont="1" applyFill="1" applyAlignment="1"/>
    <xf numFmtId="0" fontId="62" fillId="23" borderId="8" xfId="166" applyFont="1" applyFill="1" applyBorder="1"/>
    <xf numFmtId="9" fontId="27" fillId="24" borderId="0" xfId="166" quotePrefix="1" applyNumberFormat="1" applyFont="1" applyFill="1" applyBorder="1"/>
    <xf numFmtId="0" fontId="62" fillId="0" borderId="5" xfId="166" applyFont="1" applyBorder="1"/>
    <xf numFmtId="179" fontId="62" fillId="0" borderId="0" xfId="167" applyNumberFormat="1" applyFont="1"/>
    <xf numFmtId="0" fontId="83" fillId="0" borderId="0" xfId="166" quotePrefix="1" applyFont="1"/>
    <xf numFmtId="0" fontId="62" fillId="0" borderId="0" xfId="166" applyFont="1" applyAlignment="1">
      <alignment horizontal="right"/>
    </xf>
    <xf numFmtId="9" fontId="62" fillId="5" borderId="0" xfId="167" applyFont="1" applyFill="1"/>
    <xf numFmtId="9" fontId="62" fillId="23" borderId="0" xfId="167" applyFont="1" applyFill="1" applyAlignment="1"/>
    <xf numFmtId="183" fontId="27" fillId="24" borderId="0" xfId="168" applyNumberFormat="1" applyFont="1" applyFill="1" applyAlignment="1">
      <alignment horizontal="center" vertical="center"/>
    </xf>
    <xf numFmtId="0" fontId="58" fillId="0" borderId="0" xfId="166" applyFont="1" applyFill="1" applyBorder="1"/>
    <xf numFmtId="0" fontId="62" fillId="0" borderId="12" xfId="166" applyFont="1" applyBorder="1"/>
    <xf numFmtId="0" fontId="62" fillId="0" borderId="11" xfId="166" applyFont="1" applyBorder="1"/>
    <xf numFmtId="0" fontId="62" fillId="0" borderId="10" xfId="166" applyFont="1" applyBorder="1"/>
    <xf numFmtId="0" fontId="62" fillId="23" borderId="0" xfId="166" applyFont="1" applyFill="1" applyBorder="1"/>
    <xf numFmtId="179" fontId="62" fillId="23" borderId="1" xfId="171" applyNumberFormat="1" applyFont="1" applyFill="1" applyBorder="1" applyAlignment="1"/>
    <xf numFmtId="183" fontId="70" fillId="5" borderId="0" xfId="168" applyNumberFormat="1" applyFont="1" applyFill="1" applyAlignment="1">
      <alignment horizontal="center" vertical="center"/>
    </xf>
    <xf numFmtId="0" fontId="83" fillId="0" borderId="0" xfId="166" quotePrefix="1" applyFont="1" applyAlignment="1">
      <alignment horizontal="center"/>
    </xf>
    <xf numFmtId="183" fontId="62" fillId="5" borderId="0" xfId="168" applyNumberFormat="1" applyFont="1" applyFill="1"/>
    <xf numFmtId="0" fontId="64" fillId="0" borderId="0" xfId="172" applyFont="1"/>
    <xf numFmtId="0" fontId="57" fillId="0" borderId="0" xfId="172" applyFont="1"/>
    <xf numFmtId="183" fontId="27" fillId="24" borderId="0" xfId="173" applyNumberFormat="1" applyFont="1" applyFill="1" applyAlignment="1">
      <alignment horizontal="center" vertical="center"/>
    </xf>
    <xf numFmtId="0" fontId="57" fillId="0" borderId="0" xfId="172" quotePrefix="1" applyFont="1" applyAlignment="1">
      <alignment horizontal="center"/>
    </xf>
    <xf numFmtId="0" fontId="32" fillId="0" borderId="0" xfId="172" applyFont="1"/>
    <xf numFmtId="183" fontId="66" fillId="0" borderId="0" xfId="172" applyNumberFormat="1" applyFont="1" applyAlignment="1">
      <alignment horizontal="left"/>
    </xf>
    <xf numFmtId="172" fontId="56" fillId="0" borderId="0" xfId="172" applyNumberFormat="1" applyFont="1" applyAlignment="1">
      <alignment horizontal="left"/>
    </xf>
    <xf numFmtId="183" fontId="62" fillId="23" borderId="0" xfId="168" applyNumberFormat="1" applyFont="1" applyFill="1"/>
    <xf numFmtId="9" fontId="62" fillId="23" borderId="0" xfId="167" applyFont="1" applyFill="1" applyAlignment="1">
      <alignment horizontal="center"/>
    </xf>
    <xf numFmtId="183" fontId="62" fillId="0" borderId="0" xfId="166" applyNumberFormat="1" applyFont="1" applyAlignment="1">
      <alignment horizontal="center"/>
    </xf>
    <xf numFmtId="0" fontId="62" fillId="0" borderId="0" xfId="166" applyFont="1" applyFill="1" applyAlignment="1"/>
    <xf numFmtId="0" fontId="56" fillId="0" borderId="0" xfId="172" applyFont="1" applyAlignment="1">
      <alignment horizontal="left"/>
    </xf>
    <xf numFmtId="9" fontId="56" fillId="0" borderId="0" xfId="172" applyNumberFormat="1" applyFont="1" applyAlignment="1">
      <alignment horizontal="left"/>
    </xf>
    <xf numFmtId="183" fontId="62" fillId="23" borderId="0" xfId="168" applyNumberFormat="1" applyFont="1" applyFill="1" applyAlignment="1">
      <alignment horizontal="center" vertical="center"/>
    </xf>
    <xf numFmtId="0" fontId="57" fillId="0" borderId="29" xfId="172" applyFont="1" applyBorder="1"/>
    <xf numFmtId="0" fontId="57" fillId="0" borderId="20" xfId="172" applyFont="1" applyBorder="1"/>
    <xf numFmtId="0" fontId="56" fillId="0" borderId="20" xfId="172" applyFont="1" applyBorder="1" applyAlignment="1">
      <alignment horizontal="left"/>
    </xf>
    <xf numFmtId="183" fontId="27" fillId="24" borderId="20" xfId="173" applyNumberFormat="1" applyFont="1" applyFill="1" applyBorder="1" applyAlignment="1">
      <alignment vertical="center"/>
    </xf>
    <xf numFmtId="0" fontId="57" fillId="0" borderId="28" xfId="172" applyFont="1" applyBorder="1"/>
    <xf numFmtId="0" fontId="62" fillId="0" borderId="26" xfId="166" applyFont="1" applyBorder="1"/>
    <xf numFmtId="0" fontId="83" fillId="0" borderId="0" xfId="166" applyFont="1" applyBorder="1"/>
    <xf numFmtId="0" fontId="62" fillId="0" borderId="25" xfId="166" applyFont="1" applyBorder="1"/>
    <xf numFmtId="183" fontId="27" fillId="24" borderId="0" xfId="168" quotePrefix="1" applyNumberFormat="1" applyFont="1" applyFill="1" applyBorder="1" applyAlignment="1">
      <alignment vertical="center"/>
    </xf>
    <xf numFmtId="9" fontId="62" fillId="5" borderId="0" xfId="168" applyNumberFormat="1" applyFont="1" applyFill="1" applyBorder="1" applyAlignment="1">
      <alignment vertical="center"/>
    </xf>
    <xf numFmtId="0" fontId="62" fillId="0" borderId="23" xfId="166" applyFont="1" applyBorder="1"/>
    <xf numFmtId="0" fontId="62" fillId="0" borderId="22" xfId="166" applyFont="1" applyBorder="1"/>
    <xf numFmtId="0" fontId="58" fillId="0" borderId="22" xfId="166" applyFont="1" applyBorder="1" applyAlignment="1">
      <alignment horizontal="center"/>
    </xf>
    <xf numFmtId="0" fontId="58" fillId="0" borderId="21" xfId="166" applyFont="1" applyBorder="1"/>
    <xf numFmtId="0" fontId="58" fillId="0" borderId="0" xfId="166" applyFont="1" applyAlignment="1">
      <alignment horizontal="center"/>
    </xf>
    <xf numFmtId="0" fontId="32" fillId="23" borderId="0" xfId="166" applyFont="1" applyFill="1" applyAlignment="1">
      <alignment horizontal="center"/>
    </xf>
    <xf numFmtId="0" fontId="56" fillId="0" borderId="0" xfId="166" applyFont="1"/>
    <xf numFmtId="0" fontId="64" fillId="0" borderId="0" xfId="174" applyFont="1"/>
    <xf numFmtId="0" fontId="57" fillId="0" borderId="0" xfId="174" applyFont="1"/>
    <xf numFmtId="0" fontId="69" fillId="0" borderId="0" xfId="163" applyFont="1" applyFill="1" applyBorder="1"/>
    <xf numFmtId="0" fontId="23" fillId="0" borderId="0" xfId="169"/>
    <xf numFmtId="0" fontId="56" fillId="0" borderId="0" xfId="169" applyFont="1"/>
    <xf numFmtId="0" fontId="57" fillId="0" borderId="0" xfId="169" applyFont="1"/>
    <xf numFmtId="0" fontId="57" fillId="0" borderId="0" xfId="169" applyFont="1" applyAlignment="1">
      <alignment horizontal="center"/>
    </xf>
    <xf numFmtId="0" fontId="57" fillId="0" borderId="0" xfId="169" applyFont="1" applyAlignment="1"/>
    <xf numFmtId="9" fontId="27" fillId="24" borderId="0" xfId="173" applyNumberFormat="1" applyFont="1" applyFill="1" applyAlignment="1">
      <alignment horizontal="center"/>
    </xf>
    <xf numFmtId="0" fontId="32" fillId="0" borderId="0" xfId="169" applyFont="1" applyAlignment="1">
      <alignment horizontal="center"/>
    </xf>
    <xf numFmtId="9" fontId="57" fillId="5" borderId="0" xfId="169" applyNumberFormat="1" applyFont="1" applyFill="1" applyAlignment="1">
      <alignment horizontal="center"/>
    </xf>
    <xf numFmtId="0" fontId="56" fillId="0" borderId="0" xfId="169" applyFont="1" applyAlignment="1">
      <alignment horizontal="left"/>
    </xf>
    <xf numFmtId="0" fontId="57" fillId="0" borderId="0" xfId="169" quotePrefix="1" applyFont="1" applyAlignment="1">
      <alignment horizontal="left"/>
    </xf>
    <xf numFmtId="0" fontId="57" fillId="23" borderId="0" xfId="169" applyFont="1" applyFill="1" applyAlignment="1">
      <alignment horizontal="center"/>
    </xf>
    <xf numFmtId="0" fontId="57" fillId="0" borderId="0" xfId="169" applyFont="1" applyAlignment="1">
      <alignment horizontal="right"/>
    </xf>
    <xf numFmtId="0" fontId="27" fillId="4" borderId="0" xfId="169" applyFont="1" applyFill="1"/>
    <xf numFmtId="0" fontId="27" fillId="4" borderId="0" xfId="169" applyFont="1" applyFill="1" applyAlignment="1">
      <alignment horizontal="center"/>
    </xf>
    <xf numFmtId="0" fontId="27" fillId="4" borderId="0" xfId="169" applyFont="1" applyFill="1" applyAlignment="1">
      <alignment horizontal="left"/>
    </xf>
    <xf numFmtId="0" fontId="64" fillId="0" borderId="0" xfId="169" applyFont="1"/>
    <xf numFmtId="0" fontId="83" fillId="0" borderId="0" xfId="169" applyFont="1"/>
    <xf numFmtId="0" fontId="62" fillId="0" borderId="0" xfId="169" quotePrefix="1" applyFont="1"/>
    <xf numFmtId="0" fontId="27" fillId="24" borderId="0" xfId="169" applyFont="1" applyFill="1"/>
    <xf numFmtId="0" fontId="57" fillId="5" borderId="0" xfId="169" applyFont="1" applyFill="1"/>
    <xf numFmtId="0" fontId="27" fillId="26" borderId="0" xfId="169" applyFont="1" applyFill="1"/>
    <xf numFmtId="0" fontId="58" fillId="0" borderId="0" xfId="169" applyFont="1"/>
    <xf numFmtId="0" fontId="57" fillId="23" borderId="0" xfId="169" applyFont="1" applyFill="1"/>
    <xf numFmtId="0" fontId="32" fillId="0" borderId="0" xfId="169" applyFont="1"/>
    <xf numFmtId="0" fontId="57" fillId="0" borderId="0" xfId="174" applyFont="1" applyFill="1" applyBorder="1"/>
    <xf numFmtId="0" fontId="27" fillId="3" borderId="0" xfId="169" applyFont="1" applyFill="1"/>
    <xf numFmtId="0" fontId="27" fillId="3" borderId="0" xfId="169" applyFont="1" applyFill="1" applyAlignment="1">
      <alignment horizontal="center"/>
    </xf>
    <xf numFmtId="183" fontId="57" fillId="5" borderId="0" xfId="173" applyNumberFormat="1" applyFont="1" applyFill="1"/>
    <xf numFmtId="0" fontId="27" fillId="24" borderId="0" xfId="169" applyFont="1" applyFill="1" applyAlignment="1">
      <alignment horizontal="left"/>
    </xf>
    <xf numFmtId="0" fontId="65" fillId="0" borderId="0" xfId="169" applyFont="1" applyFill="1" applyBorder="1"/>
    <xf numFmtId="0" fontId="62" fillId="0" borderId="0" xfId="169" applyFont="1" applyFill="1" applyBorder="1"/>
    <xf numFmtId="0" fontId="62" fillId="30" borderId="0" xfId="169" applyFont="1" applyFill="1" applyBorder="1"/>
    <xf numFmtId="0" fontId="58" fillId="0" borderId="0" xfId="169" applyFont="1" applyFill="1" applyBorder="1"/>
    <xf numFmtId="183" fontId="27" fillId="24" borderId="0" xfId="173" applyNumberFormat="1" applyFont="1" applyFill="1"/>
    <xf numFmtId="183" fontId="57" fillId="0" borderId="0" xfId="169" applyNumberFormat="1" applyFont="1" applyAlignment="1">
      <alignment horizontal="center"/>
    </xf>
    <xf numFmtId="183" fontId="57" fillId="0" borderId="0" xfId="169" applyNumberFormat="1" applyFont="1"/>
    <xf numFmtId="0" fontId="23" fillId="0" borderId="0" xfId="169" applyAlignment="1">
      <alignment horizontal="center"/>
    </xf>
    <xf numFmtId="9" fontId="56" fillId="5" borderId="0" xfId="169" applyNumberFormat="1" applyFont="1" applyFill="1" applyBorder="1"/>
    <xf numFmtId="9" fontId="57" fillId="0" borderId="0" xfId="169" applyNumberFormat="1" applyFont="1" applyAlignment="1">
      <alignment horizontal="center"/>
    </xf>
    <xf numFmtId="9" fontId="56" fillId="0" borderId="0" xfId="169" applyNumberFormat="1" applyFont="1"/>
    <xf numFmtId="8" fontId="27" fillId="24" borderId="0" xfId="173" applyNumberFormat="1" applyFont="1" applyFill="1" applyBorder="1" applyAlignment="1">
      <alignment vertical="center"/>
    </xf>
    <xf numFmtId="9" fontId="0" fillId="0" borderId="0" xfId="0" applyNumberFormat="1" applyAlignment="1">
      <alignment horizontal="center" vertical="center"/>
    </xf>
    <xf numFmtId="0" fontId="27" fillId="31" borderId="0" xfId="0" applyFont="1" applyFill="1" applyAlignment="1">
      <alignment horizontal="left" vertical="center"/>
    </xf>
    <xf numFmtId="0" fontId="27" fillId="31" borderId="0" xfId="0" applyFont="1" applyFill="1" applyAlignment="1">
      <alignment horizontal="center" vertical="center"/>
    </xf>
    <xf numFmtId="6" fontId="0" fillId="0" borderId="0" xfId="0" applyNumberFormat="1" applyFill="1" applyAlignment="1">
      <alignment horizontal="center" vertical="center"/>
    </xf>
    <xf numFmtId="9" fontId="62" fillId="5" borderId="0" xfId="167" applyFont="1" applyFill="1" applyBorder="1"/>
    <xf numFmtId="180" fontId="57" fillId="32" borderId="0" xfId="103" applyNumberFormat="1" applyFont="1" applyFill="1" applyAlignment="1">
      <alignment horizontal="center"/>
    </xf>
    <xf numFmtId="180" fontId="57" fillId="32" borderId="20" xfId="103" applyNumberFormat="1" applyFont="1" applyFill="1" applyBorder="1" applyAlignment="1">
      <alignment horizontal="center"/>
    </xf>
    <xf numFmtId="0" fontId="57" fillId="0" borderId="20" xfId="103" applyFont="1" applyBorder="1"/>
    <xf numFmtId="0" fontId="57" fillId="5" borderId="20" xfId="103" applyFont="1" applyFill="1" applyBorder="1"/>
    <xf numFmtId="0" fontId="57" fillId="0" borderId="20" xfId="103" quotePrefix="1" applyFont="1" applyBorder="1"/>
    <xf numFmtId="0" fontId="57" fillId="0" borderId="0" xfId="103" quotePrefix="1" applyFont="1"/>
    <xf numFmtId="180" fontId="57" fillId="0" borderId="0" xfId="103" applyNumberFormat="1" applyFont="1"/>
    <xf numFmtId="0" fontId="37" fillId="0" borderId="0" xfId="103"/>
    <xf numFmtId="179" fontId="32" fillId="33" borderId="0" xfId="103" applyNumberFormat="1" applyFont="1" applyFill="1" applyBorder="1" applyAlignment="1">
      <alignment horizontal="center"/>
    </xf>
    <xf numFmtId="0" fontId="37" fillId="33" borderId="0" xfId="103" applyFill="1" applyBorder="1"/>
    <xf numFmtId="0" fontId="57" fillId="0" borderId="0" xfId="103" applyFont="1" applyAlignment="1">
      <alignment horizontal="center"/>
    </xf>
    <xf numFmtId="180" fontId="57" fillId="32" borderId="0" xfId="103" applyNumberFormat="1" applyFont="1" applyFill="1" applyAlignment="1">
      <alignment horizontal="left"/>
    </xf>
    <xf numFmtId="0" fontId="56" fillId="0" borderId="0" xfId="103" applyFont="1"/>
    <xf numFmtId="180" fontId="57" fillId="23" borderId="0" xfId="103" applyNumberFormat="1" applyFont="1" applyFill="1" applyAlignment="1">
      <alignment horizontal="center"/>
    </xf>
    <xf numFmtId="0" fontId="27" fillId="24" borderId="0" xfId="103" applyFont="1" applyFill="1" applyAlignment="1">
      <alignment horizontal="center"/>
    </xf>
    <xf numFmtId="0" fontId="57" fillId="0" borderId="29" xfId="103" applyFont="1" applyBorder="1"/>
    <xf numFmtId="0" fontId="57" fillId="0" borderId="28" xfId="103" applyFont="1" applyBorder="1"/>
    <xf numFmtId="0" fontId="57" fillId="0" borderId="0" xfId="103" applyFont="1" applyBorder="1"/>
    <xf numFmtId="0" fontId="57" fillId="0" borderId="0" xfId="103" applyFont="1" applyFill="1"/>
    <xf numFmtId="9" fontId="57" fillId="23" borderId="26" xfId="103" applyNumberFormat="1" applyFont="1" applyFill="1" applyBorder="1" applyAlignment="1">
      <alignment horizontal="center"/>
    </xf>
    <xf numFmtId="0" fontId="57" fillId="23" borderId="0" xfId="103" applyFont="1" applyFill="1" applyBorder="1" applyAlignment="1">
      <alignment horizontal="center"/>
    </xf>
    <xf numFmtId="0" fontId="57" fillId="0" borderId="25" xfId="103" applyFont="1" applyBorder="1"/>
    <xf numFmtId="0" fontId="57" fillId="0" borderId="26" xfId="103" applyFont="1" applyBorder="1"/>
    <xf numFmtId="0" fontId="27" fillId="24" borderId="20" xfId="103" applyFont="1" applyFill="1" applyBorder="1" applyAlignment="1">
      <alignment horizontal="center"/>
    </xf>
    <xf numFmtId="0" fontId="27" fillId="24" borderId="28" xfId="103" applyFont="1" applyFill="1" applyBorder="1" applyAlignment="1">
      <alignment horizontal="center"/>
    </xf>
    <xf numFmtId="184" fontId="57" fillId="23" borderId="27" xfId="103" applyNumberFormat="1" applyFont="1" applyFill="1" applyBorder="1" applyAlignment="1">
      <alignment horizontal="center"/>
    </xf>
    <xf numFmtId="0" fontId="27" fillId="24" borderId="0" xfId="103" applyFont="1" applyFill="1" applyBorder="1" applyAlignment="1">
      <alignment horizontal="center"/>
    </xf>
    <xf numFmtId="0" fontId="27" fillId="24" borderId="25" xfId="103" applyFont="1" applyFill="1" applyBorder="1" applyAlignment="1">
      <alignment horizontal="center"/>
    </xf>
    <xf numFmtId="9" fontId="57" fillId="23" borderId="0" xfId="103" applyNumberFormat="1" applyFont="1" applyFill="1" applyBorder="1" applyAlignment="1">
      <alignment horizontal="center"/>
    </xf>
    <xf numFmtId="0" fontId="57" fillId="23" borderId="25" xfId="103" applyFont="1" applyFill="1" applyBorder="1" applyAlignment="1">
      <alignment horizontal="center"/>
    </xf>
    <xf numFmtId="0" fontId="57" fillId="23" borderId="26" xfId="103" applyFont="1" applyFill="1" applyBorder="1" applyAlignment="1">
      <alignment horizontal="center"/>
    </xf>
    <xf numFmtId="0" fontId="57" fillId="0" borderId="24" xfId="103" applyFont="1" applyBorder="1" applyAlignment="1">
      <alignment horizontal="center"/>
    </xf>
    <xf numFmtId="0" fontId="57" fillId="0" borderId="0" xfId="103" applyFont="1" applyFill="1" applyBorder="1" applyAlignment="1">
      <alignment horizontal="left"/>
    </xf>
    <xf numFmtId="0" fontId="57" fillId="0" borderId="25" xfId="103" applyFont="1" applyFill="1" applyBorder="1" applyAlignment="1">
      <alignment horizontal="left"/>
    </xf>
    <xf numFmtId="0" fontId="57" fillId="0" borderId="26" xfId="103" applyFont="1" applyFill="1" applyBorder="1" applyAlignment="1">
      <alignment horizontal="left"/>
    </xf>
    <xf numFmtId="0" fontId="57" fillId="23" borderId="15" xfId="103" applyFont="1" applyFill="1" applyBorder="1" applyAlignment="1">
      <alignment horizontal="center"/>
    </xf>
    <xf numFmtId="0" fontId="27" fillId="24" borderId="22" xfId="103" applyFont="1" applyFill="1" applyBorder="1" applyAlignment="1">
      <alignment horizontal="center"/>
    </xf>
    <xf numFmtId="0" fontId="27" fillId="24" borderId="21" xfId="103" applyFont="1" applyFill="1" applyBorder="1" applyAlignment="1">
      <alignment horizontal="center"/>
    </xf>
    <xf numFmtId="0" fontId="57" fillId="0" borderId="23" xfId="103" applyFont="1" applyBorder="1"/>
    <xf numFmtId="0" fontId="57" fillId="0" borderId="22" xfId="103" applyFont="1" applyBorder="1"/>
    <xf numFmtId="0" fontId="57" fillId="0" borderId="21" xfId="103" applyFont="1" applyBorder="1"/>
    <xf numFmtId="0" fontId="83" fillId="0" borderId="0" xfId="103" applyFont="1"/>
    <xf numFmtId="1" fontId="83" fillId="0" borderId="0" xfId="103" applyNumberFormat="1" applyFont="1" applyFill="1"/>
    <xf numFmtId="0" fontId="57" fillId="32" borderId="0" xfId="103" applyFont="1" applyFill="1"/>
    <xf numFmtId="0" fontId="57" fillId="0" borderId="0" xfId="176" applyFont="1"/>
    <xf numFmtId="0" fontId="57" fillId="0" borderId="0" xfId="176" applyFont="1" applyFill="1" applyBorder="1"/>
    <xf numFmtId="0" fontId="22" fillId="0" borderId="0" xfId="176"/>
    <xf numFmtId="0" fontId="22" fillId="0" borderId="0" xfId="176" applyAlignment="1">
      <alignment horizontal="center"/>
    </xf>
    <xf numFmtId="0" fontId="27" fillId="4" borderId="0" xfId="176" applyFont="1" applyFill="1"/>
    <xf numFmtId="0" fontId="27" fillId="4" borderId="0" xfId="176" applyFont="1" applyFill="1" applyAlignment="1">
      <alignment horizontal="center"/>
    </xf>
    <xf numFmtId="0" fontId="27" fillId="4" borderId="0" xfId="176" applyFont="1" applyFill="1" applyAlignment="1">
      <alignment horizontal="left"/>
    </xf>
    <xf numFmtId="0" fontId="62" fillId="0" borderId="0" xfId="176" quotePrefix="1" applyFont="1"/>
    <xf numFmtId="0" fontId="27" fillId="24" borderId="0" xfId="176" applyFont="1" applyFill="1"/>
    <xf numFmtId="0" fontId="27" fillId="26" borderId="0" xfId="176" applyFont="1" applyFill="1"/>
    <xf numFmtId="0" fontId="57" fillId="5" borderId="0" xfId="176" applyFont="1" applyFill="1"/>
    <xf numFmtId="0" fontId="57" fillId="23" borderId="0" xfId="176" applyFont="1" applyFill="1"/>
    <xf numFmtId="0" fontId="58" fillId="0" borderId="0" xfId="176" applyFont="1"/>
    <xf numFmtId="0" fontId="32" fillId="0" borderId="0" xfId="176" applyFont="1"/>
    <xf numFmtId="0" fontId="27" fillId="3" borderId="0" xfId="176" applyFont="1" applyFill="1"/>
    <xf numFmtId="0" fontId="67" fillId="3" borderId="0" xfId="176" applyFont="1" applyFill="1"/>
    <xf numFmtId="9" fontId="0" fillId="0" borderId="0" xfId="0" applyNumberFormat="1" applyAlignment="1">
      <alignment horizontal="center"/>
    </xf>
    <xf numFmtId="0" fontId="0" fillId="0" borderId="0" xfId="0" applyNumberFormat="1" applyAlignment="1">
      <alignment horizontal="center"/>
    </xf>
    <xf numFmtId="9" fontId="27" fillId="24" borderId="0" xfId="103" applyNumberFormat="1" applyFont="1" applyFill="1" applyAlignment="1">
      <alignment horizontal="center"/>
    </xf>
    <xf numFmtId="9" fontId="57" fillId="32" borderId="0" xfId="103" applyNumberFormat="1" applyFont="1" applyFill="1" applyAlignment="1">
      <alignment horizontal="center"/>
    </xf>
    <xf numFmtId="0" fontId="0" fillId="0" borderId="0" xfId="103" applyFont="1"/>
    <xf numFmtId="0" fontId="22" fillId="0" borderId="0" xfId="176" applyFont="1"/>
    <xf numFmtId="3" fontId="22" fillId="32" borderId="0" xfId="176" applyNumberFormat="1" applyFont="1" applyFill="1" applyBorder="1" applyAlignment="1">
      <alignment horizontal="center"/>
    </xf>
    <xf numFmtId="0" fontId="110" fillId="0" borderId="0" xfId="176" applyFont="1"/>
    <xf numFmtId="6" fontId="0" fillId="0" borderId="0" xfId="0" applyNumberFormat="1" applyFill="1" applyAlignment="1">
      <alignment horizontal="center"/>
    </xf>
    <xf numFmtId="3" fontId="110" fillId="32" borderId="0" xfId="176" applyNumberFormat="1" applyFont="1" applyFill="1" applyBorder="1" applyAlignment="1">
      <alignment horizontal="center"/>
    </xf>
    <xf numFmtId="5" fontId="0" fillId="23" borderId="0" xfId="0" applyNumberFormat="1" applyFill="1" applyAlignment="1">
      <alignment horizontal="center" vertical="center"/>
    </xf>
    <xf numFmtId="6" fontId="0" fillId="23" borderId="0" xfId="0" applyNumberFormat="1" applyFill="1" applyAlignment="1">
      <alignment horizontal="center" vertical="center"/>
    </xf>
    <xf numFmtId="6" fontId="0" fillId="0" borderId="0" xfId="140" applyNumberFormat="1" applyFont="1" applyAlignment="1">
      <alignment horizontal="center"/>
    </xf>
    <xf numFmtId="0" fontId="0" fillId="0" borderId="0" xfId="0" applyNumberFormat="1" applyFill="1" applyAlignment="1">
      <alignment horizontal="center"/>
    </xf>
    <xf numFmtId="0" fontId="27" fillId="2" borderId="0" xfId="176" applyFont="1" applyFill="1" applyAlignment="1">
      <alignment horizontal="left"/>
    </xf>
    <xf numFmtId="0" fontId="67" fillId="2" borderId="0" xfId="176" applyFont="1" applyFill="1" applyAlignment="1">
      <alignment vertical="center"/>
    </xf>
    <xf numFmtId="0" fontId="27" fillId="2" borderId="0" xfId="176" applyFont="1" applyFill="1"/>
    <xf numFmtId="0" fontId="27" fillId="2" borderId="0" xfId="176" applyFont="1" applyFill="1" applyAlignment="1">
      <alignment horizontal="center"/>
    </xf>
    <xf numFmtId="0" fontId="0" fillId="0" borderId="0" xfId="140" applyNumberFormat="1" applyFont="1" applyAlignment="1">
      <alignment horizontal="center"/>
    </xf>
    <xf numFmtId="9" fontId="0" fillId="0" borderId="0" xfId="0" applyNumberFormat="1" applyFill="1" applyAlignment="1">
      <alignment horizontal="center"/>
    </xf>
    <xf numFmtId="6" fontId="0" fillId="0" borderId="0" xfId="0" applyNumberFormat="1" applyAlignment="1">
      <alignment horizontal="center"/>
    </xf>
    <xf numFmtId="0" fontId="0" fillId="0" borderId="0" xfId="0" applyBorder="1"/>
    <xf numFmtId="0" fontId="0" fillId="0" borderId="0" xfId="0" applyBorder="1" applyAlignment="1">
      <alignment horizontal="center"/>
    </xf>
    <xf numFmtId="9" fontId="0" fillId="0" borderId="0" xfId="0" applyNumberFormat="1" applyBorder="1" applyAlignment="1">
      <alignment horizontal="center"/>
    </xf>
    <xf numFmtId="0" fontId="0" fillId="34" borderId="0" xfId="0" applyFill="1" applyAlignment="1">
      <alignment horizontal="left" vertical="center"/>
    </xf>
    <xf numFmtId="6" fontId="0" fillId="0" borderId="0" xfId="0" applyNumberFormat="1" applyAlignment="1">
      <alignment horizontal="center" vertical="center"/>
    </xf>
    <xf numFmtId="6" fontId="0" fillId="0" borderId="0" xfId="0" applyNumberFormat="1" applyAlignment="1">
      <alignment horizontal="left" vertical="center"/>
    </xf>
    <xf numFmtId="0" fontId="114" fillId="8" borderId="0" xfId="0" applyFont="1" applyFill="1" applyAlignment="1" applyProtection="1">
      <alignment vertical="center"/>
    </xf>
    <xf numFmtId="0" fontId="90" fillId="8" borderId="0" xfId="0" applyFont="1" applyFill="1" applyAlignment="1" applyProtection="1">
      <alignment horizontal="left" vertical="center" indent="1"/>
    </xf>
    <xf numFmtId="0" fontId="87" fillId="8" borderId="0" xfId="0" applyFont="1" applyFill="1" applyBorder="1" applyAlignment="1" applyProtection="1">
      <alignment horizontal="center" vertical="center"/>
    </xf>
    <xf numFmtId="0" fontId="76" fillId="8" borderId="0" xfId="0" applyFont="1" applyFill="1" applyBorder="1" applyProtection="1"/>
    <xf numFmtId="6" fontId="76" fillId="8" borderId="0" xfId="0" applyNumberFormat="1" applyFont="1" applyFill="1" applyBorder="1" applyAlignment="1" applyProtection="1">
      <alignment horizontal="center" vertical="center"/>
    </xf>
    <xf numFmtId="0" fontId="76" fillId="8" borderId="38" xfId="0" applyFont="1" applyFill="1" applyBorder="1" applyAlignment="1" applyProtection="1">
      <alignment vertical="center"/>
    </xf>
    <xf numFmtId="0" fontId="76" fillId="8" borderId="39" xfId="0" applyFont="1" applyFill="1" applyBorder="1" applyAlignment="1" applyProtection="1">
      <alignment vertical="center"/>
    </xf>
    <xf numFmtId="0" fontId="76" fillId="8" borderId="40" xfId="0" applyFont="1" applyFill="1" applyBorder="1" applyAlignment="1" applyProtection="1">
      <alignment vertical="center"/>
    </xf>
    <xf numFmtId="0" fontId="76" fillId="8" borderId="41" xfId="0" applyFont="1" applyFill="1" applyBorder="1" applyAlignment="1" applyProtection="1">
      <alignment vertical="center"/>
    </xf>
    <xf numFmtId="2" fontId="91" fillId="8" borderId="41" xfId="0" applyNumberFormat="1" applyFont="1" applyFill="1" applyBorder="1" applyAlignment="1" applyProtection="1">
      <alignment horizontal="center" vertical="center"/>
    </xf>
    <xf numFmtId="0" fontId="76" fillId="8" borderId="42" xfId="0" applyFont="1" applyFill="1" applyBorder="1" applyAlignment="1" applyProtection="1">
      <alignment vertical="center"/>
    </xf>
    <xf numFmtId="0" fontId="79" fillId="8" borderId="38" xfId="0" applyFont="1" applyFill="1" applyBorder="1" applyAlignment="1" applyProtection="1">
      <alignment vertical="center"/>
    </xf>
    <xf numFmtId="9" fontId="79" fillId="5" borderId="0" xfId="0" applyNumberFormat="1" applyFont="1" applyFill="1" applyBorder="1" applyAlignment="1" applyProtection="1">
      <alignment horizontal="center" vertical="center"/>
    </xf>
    <xf numFmtId="0" fontId="79" fillId="8" borderId="0" xfId="0" applyFont="1" applyFill="1" applyBorder="1" applyAlignment="1" applyProtection="1">
      <alignment horizontal="left" vertical="center"/>
    </xf>
    <xf numFmtId="0" fontId="87" fillId="8" borderId="0" xfId="0" applyFont="1" applyFill="1" applyBorder="1" applyAlignment="1" applyProtection="1">
      <alignment horizontal="left" vertical="center"/>
    </xf>
    <xf numFmtId="0" fontId="76" fillId="8" borderId="41" xfId="0" applyFont="1" applyFill="1" applyBorder="1" applyAlignment="1" applyProtection="1">
      <alignment horizontal="left" vertical="center"/>
    </xf>
    <xf numFmtId="6" fontId="57" fillId="23" borderId="0" xfId="103" applyNumberFormat="1" applyFont="1" applyFill="1" applyAlignment="1">
      <alignment horizontal="center"/>
    </xf>
    <xf numFmtId="6" fontId="27" fillId="24" borderId="0" xfId="0" applyNumberFormat="1" applyFont="1" applyFill="1" applyAlignment="1">
      <alignment horizontal="center" vertical="center"/>
    </xf>
    <xf numFmtId="6" fontId="0" fillId="5" borderId="0" xfId="0" applyNumberFormat="1" applyFill="1" applyAlignment="1">
      <alignment horizontal="center" vertical="center"/>
    </xf>
    <xf numFmtId="8" fontId="22" fillId="32" borderId="0" xfId="176" applyNumberFormat="1" applyFont="1" applyFill="1" applyBorder="1" applyAlignment="1">
      <alignment horizontal="center"/>
    </xf>
    <xf numFmtId="0" fontId="21" fillId="0" borderId="0" xfId="176" applyFont="1"/>
    <xf numFmtId="9" fontId="22" fillId="32" borderId="0" xfId="176" applyNumberFormat="1" applyFont="1" applyFill="1" applyBorder="1" applyAlignment="1">
      <alignment horizontal="center"/>
    </xf>
    <xf numFmtId="8" fontId="110" fillId="32" borderId="0" xfId="176" applyNumberFormat="1" applyFont="1" applyFill="1" applyBorder="1" applyAlignment="1">
      <alignment horizontal="center"/>
    </xf>
    <xf numFmtId="8" fontId="0" fillId="0" borderId="0" xfId="140" applyNumberFormat="1" applyFont="1" applyAlignment="1">
      <alignment horizontal="center"/>
    </xf>
    <xf numFmtId="6" fontId="22" fillId="34" borderId="0" xfId="176" applyNumberFormat="1" applyFill="1" applyAlignment="1">
      <alignment horizontal="center"/>
    </xf>
    <xf numFmtId="9" fontId="22" fillId="34" borderId="0" xfId="176" applyNumberFormat="1" applyFill="1" applyAlignment="1">
      <alignment horizontal="center"/>
    </xf>
    <xf numFmtId="6" fontId="110" fillId="34" borderId="0" xfId="176" applyNumberFormat="1" applyFont="1" applyFill="1" applyAlignment="1">
      <alignment horizontal="center"/>
    </xf>
    <xf numFmtId="0" fontId="0" fillId="0" borderId="0" xfId="0" applyFill="1" applyAlignment="1">
      <alignment horizontal="center" vertical="center"/>
    </xf>
    <xf numFmtId="0" fontId="0" fillId="0" borderId="0" xfId="0" applyFill="1" applyAlignment="1">
      <alignment horizontal="left" vertical="center"/>
    </xf>
    <xf numFmtId="0" fontId="0" fillId="0" borderId="0" xfId="0" applyFont="1" applyFill="1" applyAlignment="1">
      <alignment horizontal="left" vertical="center"/>
    </xf>
    <xf numFmtId="9" fontId="27" fillId="0" borderId="0" xfId="0" applyNumberFormat="1" applyFont="1" applyFill="1" applyAlignment="1">
      <alignment horizontal="center" vertical="center"/>
    </xf>
    <xf numFmtId="9" fontId="0" fillId="0" borderId="0" xfId="0" applyNumberFormat="1" applyFill="1" applyAlignment="1">
      <alignment horizontal="center" vertical="center"/>
    </xf>
    <xf numFmtId="9" fontId="0" fillId="0" borderId="0" xfId="140" applyNumberFormat="1" applyFont="1" applyAlignment="1">
      <alignment horizontal="center"/>
    </xf>
    <xf numFmtId="0" fontId="91" fillId="8" borderId="0" xfId="0" quotePrefix="1" applyFont="1" applyFill="1" applyAlignment="1" applyProtection="1">
      <alignment horizontal="center" vertical="center"/>
    </xf>
    <xf numFmtId="2" fontId="91" fillId="8" borderId="0" xfId="0" quotePrefix="1" applyNumberFormat="1" applyFont="1" applyFill="1" applyBorder="1" applyAlignment="1" applyProtection="1">
      <alignment horizontal="center" vertical="center"/>
    </xf>
    <xf numFmtId="0" fontId="116" fillId="3" borderId="0" xfId="176" applyFont="1" applyFill="1"/>
    <xf numFmtId="0" fontId="117" fillId="3" borderId="0" xfId="176" applyFont="1" applyFill="1"/>
    <xf numFmtId="0" fontId="73" fillId="0" borderId="0" xfId="176" applyFont="1"/>
    <xf numFmtId="0" fontId="73" fillId="0" borderId="0" xfId="176" applyFont="1" applyFill="1" applyBorder="1"/>
    <xf numFmtId="0" fontId="118" fillId="0" borderId="0" xfId="163" applyFont="1" applyAlignment="1">
      <alignment horizontal="left" vertical="center"/>
    </xf>
    <xf numFmtId="0" fontId="118" fillId="0" borderId="0" xfId="163" applyFont="1" applyAlignment="1">
      <alignment horizontal="center" vertical="center"/>
    </xf>
    <xf numFmtId="0" fontId="117" fillId="27" borderId="0" xfId="176" applyFont="1" applyFill="1" applyAlignment="1">
      <alignment horizontal="left"/>
    </xf>
    <xf numFmtId="0" fontId="117" fillId="27" borderId="0" xfId="176" applyFont="1" applyFill="1"/>
    <xf numFmtId="0" fontId="117" fillId="27" borderId="0" xfId="176" applyFont="1" applyFill="1" applyAlignment="1">
      <alignment horizontal="center"/>
    </xf>
    <xf numFmtId="0" fontId="119" fillId="0" borderId="0" xfId="176" applyFont="1"/>
    <xf numFmtId="0" fontId="120" fillId="0" borderId="0" xfId="176" applyFont="1"/>
    <xf numFmtId="0" fontId="73" fillId="23" borderId="0" xfId="176" applyFont="1" applyFill="1"/>
    <xf numFmtId="0" fontId="121" fillId="0" borderId="0" xfId="176" quotePrefix="1" applyFont="1"/>
    <xf numFmtId="0" fontId="73" fillId="5" borderId="0" xfId="176" applyFont="1" applyFill="1"/>
    <xf numFmtId="0" fontId="117" fillId="26" borderId="0" xfId="176" applyFont="1" applyFill="1"/>
    <xf numFmtId="0" fontId="117" fillId="24" borderId="0" xfId="176" applyFont="1" applyFill="1"/>
    <xf numFmtId="0" fontId="73" fillId="0" borderId="0" xfId="176" applyFont="1" applyAlignment="1">
      <alignment horizontal="center"/>
    </xf>
    <xf numFmtId="0" fontId="116" fillId="27" borderId="0" xfId="176" applyFont="1" applyFill="1" applyAlignment="1">
      <alignment vertical="center"/>
    </xf>
    <xf numFmtId="10" fontId="121" fillId="0" borderId="0" xfId="177" applyNumberFormat="1" applyFont="1" applyFill="1" applyAlignment="1">
      <alignment horizontal="center"/>
    </xf>
    <xf numFmtId="3" fontId="117" fillId="24" borderId="0" xfId="176" applyNumberFormat="1" applyFont="1" applyFill="1" applyAlignment="1">
      <alignment horizontal="center"/>
    </xf>
    <xf numFmtId="9" fontId="117" fillId="24" borderId="0" xfId="176" applyNumberFormat="1" applyFont="1" applyFill="1" applyAlignment="1">
      <alignment horizontal="center"/>
    </xf>
    <xf numFmtId="3" fontId="73" fillId="32" borderId="0" xfId="176" applyNumberFormat="1" applyFont="1" applyFill="1" applyAlignment="1">
      <alignment horizontal="center"/>
    </xf>
    <xf numFmtId="0" fontId="73" fillId="0" borderId="0" xfId="176" applyFont="1" applyAlignment="1">
      <alignment horizontal="left"/>
    </xf>
    <xf numFmtId="0" fontId="119" fillId="0" borderId="0" xfId="176" applyFont="1" applyAlignment="1">
      <alignment horizontal="left"/>
    </xf>
    <xf numFmtId="3" fontId="119" fillId="5" borderId="0" xfId="176" applyNumberFormat="1" applyFont="1" applyFill="1" applyAlignment="1">
      <alignment horizontal="center"/>
    </xf>
    <xf numFmtId="0" fontId="119" fillId="0" borderId="16" xfId="176" applyFont="1" applyBorder="1"/>
    <xf numFmtId="0" fontId="73" fillId="0" borderId="34" xfId="176" applyFont="1" applyBorder="1"/>
    <xf numFmtId="3" fontId="119" fillId="32" borderId="34" xfId="176" applyNumberFormat="1" applyFont="1" applyFill="1" applyBorder="1" applyAlignment="1">
      <alignment horizontal="center"/>
    </xf>
    <xf numFmtId="3" fontId="73" fillId="0" borderId="0" xfId="176" applyNumberFormat="1" applyFont="1"/>
    <xf numFmtId="3" fontId="73" fillId="32" borderId="0" xfId="176" applyNumberFormat="1" applyFont="1" applyFill="1" applyBorder="1" applyAlignment="1">
      <alignment horizontal="center"/>
    </xf>
    <xf numFmtId="3" fontId="73" fillId="0" borderId="0" xfId="176" applyNumberFormat="1" applyFont="1" applyAlignment="1">
      <alignment horizontal="center"/>
    </xf>
    <xf numFmtId="3" fontId="119" fillId="32" borderId="0" xfId="176" applyNumberFormat="1" applyFont="1" applyFill="1" applyBorder="1" applyAlignment="1">
      <alignment horizontal="center"/>
    </xf>
    <xf numFmtId="6" fontId="73" fillId="32" borderId="0" xfId="176" applyNumberFormat="1" applyFont="1" applyFill="1" applyBorder="1" applyAlignment="1">
      <alignment horizontal="center"/>
    </xf>
    <xf numFmtId="6" fontId="119" fillId="32" borderId="0" xfId="176" applyNumberFormat="1" applyFont="1" applyFill="1" applyBorder="1" applyAlignment="1">
      <alignment horizontal="center"/>
    </xf>
    <xf numFmtId="0" fontId="73" fillId="0" borderId="0" xfId="0" applyFont="1"/>
    <xf numFmtId="0" fontId="73" fillId="0" borderId="0" xfId="0" applyFont="1" applyAlignment="1">
      <alignment horizontal="center"/>
    </xf>
    <xf numFmtId="0" fontId="119" fillId="32" borderId="0" xfId="176" applyNumberFormat="1" applyFont="1" applyFill="1" applyBorder="1" applyAlignment="1">
      <alignment horizontal="center"/>
    </xf>
    <xf numFmtId="0" fontId="73" fillId="32" borderId="0" xfId="176" applyNumberFormat="1" applyFont="1" applyFill="1" applyBorder="1" applyAlignment="1">
      <alignment horizontal="center"/>
    </xf>
    <xf numFmtId="3" fontId="119" fillId="32" borderId="0" xfId="176" quotePrefix="1" applyNumberFormat="1" applyFont="1" applyFill="1" applyBorder="1" applyAlignment="1">
      <alignment horizontal="center"/>
    </xf>
    <xf numFmtId="6" fontId="0" fillId="0" borderId="0" xfId="0" applyNumberFormat="1" applyBorder="1" applyAlignment="1">
      <alignment horizontal="center"/>
    </xf>
    <xf numFmtId="0" fontId="0" fillId="0" borderId="0" xfId="0" applyFill="1" applyBorder="1"/>
    <xf numFmtId="8" fontId="27" fillId="24" borderId="0" xfId="173" applyNumberFormat="1" applyFont="1" applyFill="1"/>
    <xf numFmtId="0" fontId="27" fillId="29" borderId="0" xfId="169" applyFont="1" applyFill="1"/>
    <xf numFmtId="0" fontId="27" fillId="29" borderId="0" xfId="169" applyFont="1" applyFill="1" applyAlignment="1">
      <alignment horizontal="left"/>
    </xf>
    <xf numFmtId="0" fontId="84" fillId="29" borderId="0" xfId="169" applyFont="1" applyFill="1" applyAlignment="1">
      <alignment horizontal="left"/>
    </xf>
    <xf numFmtId="0" fontId="27" fillId="29" borderId="0" xfId="169" applyFont="1" applyFill="1" applyAlignment="1">
      <alignment horizontal="center"/>
    </xf>
    <xf numFmtId="8" fontId="0" fillId="23" borderId="0" xfId="0" applyNumberFormat="1" applyFill="1" applyAlignment="1">
      <alignment horizontal="center" vertical="center"/>
    </xf>
    <xf numFmtId="8" fontId="0" fillId="0" borderId="0" xfId="0" applyNumberFormat="1" applyAlignment="1">
      <alignment horizontal="center" vertical="center"/>
    </xf>
    <xf numFmtId="0" fontId="57" fillId="0" borderId="0" xfId="178" applyFont="1"/>
    <xf numFmtId="3" fontId="57" fillId="5" borderId="0" xfId="179" applyNumberFormat="1" applyFont="1" applyFill="1" applyAlignment="1">
      <alignment horizontal="center"/>
    </xf>
    <xf numFmtId="9" fontId="57" fillId="5" borderId="0" xfId="178" applyNumberFormat="1" applyFont="1" applyFill="1" applyAlignment="1">
      <alignment horizontal="center"/>
    </xf>
    <xf numFmtId="0" fontId="20" fillId="0" borderId="0" xfId="178"/>
    <xf numFmtId="0" fontId="20" fillId="33" borderId="0" xfId="178" applyFill="1" applyBorder="1" applyAlignment="1">
      <alignment horizontal="center"/>
    </xf>
    <xf numFmtId="0" fontId="20" fillId="33" borderId="0" xfId="178" applyFill="1" applyBorder="1"/>
    <xf numFmtId="0" fontId="27" fillId="4" borderId="0" xfId="178" applyFont="1" applyFill="1"/>
    <xf numFmtId="0" fontId="27" fillId="4" borderId="0" xfId="178" applyFont="1" applyFill="1" applyAlignment="1">
      <alignment horizontal="center"/>
    </xf>
    <xf numFmtId="0" fontId="67" fillId="4" borderId="0" xfId="178" applyFont="1" applyFill="1" applyAlignment="1">
      <alignment horizontal="left" vertical="center"/>
    </xf>
    <xf numFmtId="0" fontId="57" fillId="0" borderId="0" xfId="178" applyFont="1" applyAlignment="1">
      <alignment horizontal="center"/>
    </xf>
    <xf numFmtId="0" fontId="56" fillId="0" borderId="0" xfId="178" applyFont="1"/>
    <xf numFmtId="0" fontId="57" fillId="0" borderId="0" xfId="178" applyFont="1" applyAlignment="1"/>
    <xf numFmtId="9" fontId="57" fillId="0" borderId="0" xfId="178" applyNumberFormat="1" applyFont="1" applyAlignment="1">
      <alignment horizontal="center"/>
    </xf>
    <xf numFmtId="0" fontId="57" fillId="0" borderId="0" xfId="178" applyFont="1" applyAlignment="1">
      <alignment horizontal="left"/>
    </xf>
    <xf numFmtId="9" fontId="57" fillId="35" borderId="0" xfId="178" applyNumberFormat="1" applyFont="1" applyFill="1" applyAlignment="1">
      <alignment horizontal="center"/>
    </xf>
    <xf numFmtId="0" fontId="56" fillId="0" borderId="0" xfId="178" applyFont="1" applyAlignment="1">
      <alignment horizontal="left"/>
    </xf>
    <xf numFmtId="0" fontId="32" fillId="0" borderId="0" xfId="178" applyFont="1"/>
    <xf numFmtId="0" fontId="27" fillId="4" borderId="0" xfId="178" applyFont="1" applyFill="1" applyAlignment="1">
      <alignment horizontal="left"/>
    </xf>
    <xf numFmtId="9" fontId="57" fillId="5" borderId="0" xfId="179" applyNumberFormat="1" applyFont="1" applyFill="1" applyAlignment="1">
      <alignment horizontal="center"/>
    </xf>
    <xf numFmtId="3" fontId="57" fillId="35" borderId="0" xfId="178" applyNumberFormat="1" applyFont="1" applyFill="1" applyAlignment="1">
      <alignment horizontal="center"/>
    </xf>
    <xf numFmtId="3" fontId="27" fillId="24" borderId="0" xfId="179" applyNumberFormat="1" applyFont="1" applyFill="1" applyAlignment="1">
      <alignment horizontal="center"/>
    </xf>
    <xf numFmtId="0" fontId="27" fillId="0" borderId="0" xfId="178" applyFont="1" applyAlignment="1">
      <alignment horizontal="center"/>
    </xf>
    <xf numFmtId="0" fontId="27" fillId="0" borderId="0" xfId="178" applyFont="1" applyAlignment="1"/>
    <xf numFmtId="0" fontId="57" fillId="35" borderId="0" xfId="178" applyFont="1" applyFill="1" applyAlignment="1">
      <alignment horizontal="center"/>
    </xf>
    <xf numFmtId="0" fontId="57" fillId="5" borderId="0" xfId="178" applyFont="1" applyFill="1" applyAlignment="1">
      <alignment horizontal="center"/>
    </xf>
    <xf numFmtId="3" fontId="57" fillId="5" borderId="0" xfId="178" applyNumberFormat="1" applyFont="1" applyFill="1" applyAlignment="1">
      <alignment horizontal="center"/>
    </xf>
    <xf numFmtId="0" fontId="83" fillId="0" borderId="0" xfId="178" applyFont="1"/>
    <xf numFmtId="0" fontId="62" fillId="0" borderId="0" xfId="178" quotePrefix="1" applyFont="1"/>
    <xf numFmtId="0" fontId="122" fillId="36" borderId="0" xfId="178" applyFont="1" applyFill="1" applyBorder="1"/>
    <xf numFmtId="0" fontId="57" fillId="5" borderId="0" xfId="178" applyFont="1" applyFill="1"/>
    <xf numFmtId="0" fontId="123" fillId="37" borderId="0" xfId="178" applyFont="1" applyFill="1" applyBorder="1"/>
    <xf numFmtId="0" fontId="58" fillId="0" borderId="0" xfId="178" applyFont="1"/>
    <xf numFmtId="0" fontId="122" fillId="35" borderId="0" xfId="178" applyFont="1" applyFill="1" applyBorder="1"/>
    <xf numFmtId="0" fontId="57" fillId="0" borderId="0" xfId="180" applyFont="1"/>
    <xf numFmtId="0" fontId="57" fillId="0" borderId="0" xfId="180" applyFont="1" applyFill="1" applyBorder="1"/>
    <xf numFmtId="0" fontId="27" fillId="3" borderId="0" xfId="178" applyFont="1" applyFill="1"/>
    <xf numFmtId="0" fontId="27" fillId="3" borderId="0" xfId="178" applyFont="1" applyFill="1" applyAlignment="1">
      <alignment horizontal="center"/>
    </xf>
    <xf numFmtId="0" fontId="67" fillId="3" borderId="0" xfId="178" applyFont="1" applyFill="1" applyAlignment="1">
      <alignment vertical="center"/>
    </xf>
    <xf numFmtId="0" fontId="124" fillId="36" borderId="0" xfId="178" applyFont="1" applyFill="1" applyBorder="1" applyAlignment="1">
      <alignment horizontal="center"/>
    </xf>
    <xf numFmtId="0" fontId="67" fillId="3" borderId="0" xfId="178" applyFont="1" applyFill="1" applyAlignment="1">
      <alignment horizontal="right" vertical="center"/>
    </xf>
    <xf numFmtId="0" fontId="67" fillId="3" borderId="0" xfId="178" applyFont="1" applyFill="1"/>
    <xf numFmtId="0" fontId="0" fillId="0" borderId="0" xfId="0" applyNumberFormat="1" applyBorder="1" applyAlignment="1">
      <alignment horizontal="center"/>
    </xf>
    <xf numFmtId="0" fontId="0" fillId="0" borderId="0" xfId="178" applyFont="1"/>
    <xf numFmtId="0" fontId="0" fillId="0" borderId="0" xfId="169" applyFont="1"/>
    <xf numFmtId="8" fontId="57" fillId="5" borderId="0" xfId="173" applyNumberFormat="1" applyFont="1" applyFill="1"/>
    <xf numFmtId="6" fontId="57" fillId="5" borderId="0" xfId="173" applyNumberFormat="1" applyFont="1" applyFill="1"/>
    <xf numFmtId="6" fontId="57" fillId="5" borderId="0" xfId="169" applyNumberFormat="1" applyFont="1" applyFill="1"/>
    <xf numFmtId="6" fontId="62" fillId="30" borderId="0" xfId="169" applyNumberFormat="1" applyFont="1" applyFill="1" applyBorder="1"/>
    <xf numFmtId="6" fontId="62" fillId="30" borderId="0" xfId="170" applyNumberFormat="1" applyFont="1" applyFill="1" applyBorder="1"/>
    <xf numFmtId="6" fontId="62" fillId="30" borderId="9" xfId="170" applyNumberFormat="1" applyFont="1" applyFill="1" applyBorder="1"/>
    <xf numFmtId="6" fontId="57" fillId="5" borderId="0" xfId="169" applyNumberFormat="1" applyFont="1" applyFill="1" applyBorder="1"/>
    <xf numFmtId="6" fontId="27" fillId="24" borderId="0" xfId="173" applyNumberFormat="1" applyFont="1" applyFill="1"/>
    <xf numFmtId="6" fontId="57" fillId="0" borderId="0" xfId="169" applyNumberFormat="1" applyFont="1" applyAlignment="1">
      <alignment horizontal="center"/>
    </xf>
    <xf numFmtId="6" fontId="57" fillId="5" borderId="0" xfId="178" applyNumberFormat="1" applyFont="1" applyFill="1" applyAlignment="1">
      <alignment horizontal="center"/>
    </xf>
    <xf numFmtId="0" fontId="32" fillId="0" borderId="0" xfId="0" applyFont="1" applyAlignment="1">
      <alignment vertical="center"/>
    </xf>
    <xf numFmtId="0" fontId="67" fillId="4" borderId="0" xfId="0" applyFont="1" applyFill="1" applyAlignment="1">
      <alignment horizontal="left" vertical="center"/>
    </xf>
    <xf numFmtId="9" fontId="62" fillId="5" borderId="0" xfId="0" applyNumberFormat="1" applyFont="1" applyFill="1" applyAlignment="1">
      <alignment horizontal="center" vertical="center"/>
    </xf>
    <xf numFmtId="0" fontId="56" fillId="0" borderId="0" xfId="0" applyFont="1" applyAlignment="1">
      <alignment vertical="center"/>
    </xf>
    <xf numFmtId="0" fontId="57" fillId="0" borderId="0" xfId="0" applyFont="1"/>
    <xf numFmtId="0" fontId="62" fillId="0" borderId="0" xfId="0" quotePrefix="1" applyFont="1"/>
    <xf numFmtId="0" fontId="27" fillId="26" borderId="0" xfId="0" applyFont="1" applyFill="1"/>
    <xf numFmtId="0" fontId="57" fillId="5" borderId="0" xfId="0" applyFont="1" applyFill="1"/>
    <xf numFmtId="0" fontId="57" fillId="23" borderId="0" xfId="0" applyFont="1" applyFill="1"/>
    <xf numFmtId="0" fontId="58" fillId="0" borderId="0" xfId="0" applyFont="1"/>
    <xf numFmtId="0" fontId="27" fillId="4" borderId="0" xfId="0" applyFont="1" applyFill="1" applyAlignment="1">
      <alignment horizontal="left"/>
    </xf>
    <xf numFmtId="0" fontId="125" fillId="3" borderId="0" xfId="181" applyFont="1" applyFill="1"/>
    <xf numFmtId="0" fontId="125" fillId="3" borderId="0" xfId="181" applyFont="1" applyFill="1" applyAlignment="1">
      <alignment horizontal="center"/>
    </xf>
    <xf numFmtId="0" fontId="63" fillId="0" borderId="0" xfId="181" applyFont="1"/>
    <xf numFmtId="0" fontId="63" fillId="0" borderId="0" xfId="181" applyFont="1" applyAlignment="1">
      <alignment horizontal="center"/>
    </xf>
    <xf numFmtId="0" fontId="125" fillId="28" borderId="0" xfId="181" applyFont="1" applyFill="1"/>
    <xf numFmtId="0" fontId="125" fillId="28" borderId="0" xfId="181" applyFont="1" applyFill="1" applyAlignment="1">
      <alignment horizontal="left"/>
    </xf>
    <xf numFmtId="0" fontId="126" fillId="28" borderId="0" xfId="181" applyFont="1" applyFill="1" applyAlignment="1">
      <alignment horizontal="center"/>
    </xf>
    <xf numFmtId="0" fontId="127" fillId="0" borderId="0" xfId="181" applyFont="1"/>
    <xf numFmtId="179" fontId="125" fillId="24" borderId="0" xfId="182" applyNumberFormat="1" applyFont="1" applyFill="1" applyAlignment="1">
      <alignment horizontal="center"/>
    </xf>
    <xf numFmtId="0" fontId="128" fillId="0" borderId="0" xfId="181" applyFont="1"/>
    <xf numFmtId="37" fontId="63" fillId="5" borderId="0" xfId="182" applyNumberFormat="1" applyFont="1" applyFill="1" applyBorder="1" applyAlignment="1">
      <alignment horizontal="center"/>
    </xf>
    <xf numFmtId="8" fontId="125" fillId="24" borderId="0" xfId="182" applyNumberFormat="1" applyFont="1" applyFill="1" applyAlignment="1">
      <alignment horizontal="center"/>
    </xf>
    <xf numFmtId="6" fontId="63" fillId="5" borderId="0" xfId="182" applyNumberFormat="1" applyFont="1" applyFill="1" applyAlignment="1">
      <alignment horizontal="center"/>
    </xf>
    <xf numFmtId="3" fontId="63" fillId="5" borderId="20" xfId="182" applyNumberFormat="1" applyFont="1" applyFill="1" applyBorder="1" applyAlignment="1">
      <alignment horizontal="center"/>
    </xf>
    <xf numFmtId="183" fontId="63" fillId="0" borderId="0" xfId="182" applyNumberFormat="1" applyFont="1" applyFill="1" applyAlignment="1">
      <alignment horizontal="center"/>
    </xf>
    <xf numFmtId="183" fontId="129" fillId="0" borderId="0" xfId="182" applyNumberFormat="1" applyFont="1" applyFill="1" applyAlignment="1">
      <alignment horizontal="center"/>
    </xf>
    <xf numFmtId="8" fontId="63" fillId="5" borderId="0" xfId="182" applyNumberFormat="1" applyFont="1" applyFill="1" applyAlignment="1">
      <alignment horizontal="center"/>
    </xf>
    <xf numFmtId="9" fontId="27" fillId="24" borderId="0" xfId="173" applyNumberFormat="1" applyFont="1" applyFill="1"/>
    <xf numFmtId="38" fontId="57" fillId="5" borderId="0" xfId="173" applyNumberFormat="1" applyFont="1" applyFill="1"/>
    <xf numFmtId="38" fontId="0" fillId="23" borderId="0" xfId="0" applyNumberFormat="1" applyFill="1" applyAlignment="1">
      <alignment horizontal="center" vertical="center"/>
    </xf>
    <xf numFmtId="6" fontId="57" fillId="34" borderId="0" xfId="169" applyNumberFormat="1" applyFont="1" applyFill="1"/>
    <xf numFmtId="6" fontId="57" fillId="0" borderId="0" xfId="169" applyNumberFormat="1" applyFont="1"/>
    <xf numFmtId="0" fontId="57" fillId="3" borderId="0" xfId="169" applyFont="1" applyFill="1"/>
    <xf numFmtId="0" fontId="57" fillId="3" borderId="0" xfId="169" applyFont="1" applyFill="1" applyAlignment="1">
      <alignment horizontal="center"/>
    </xf>
    <xf numFmtId="0" fontId="18" fillId="0" borderId="0" xfId="169" applyFont="1"/>
    <xf numFmtId="0" fontId="57" fillId="29" borderId="0" xfId="169" applyFont="1" applyFill="1"/>
    <xf numFmtId="0" fontId="57" fillId="29" borderId="0" xfId="169" applyFont="1" applyFill="1" applyAlignment="1">
      <alignment horizontal="left"/>
    </xf>
    <xf numFmtId="0" fontId="56" fillId="29" borderId="0" xfId="169" applyFont="1" applyFill="1" applyAlignment="1">
      <alignment horizontal="left"/>
    </xf>
    <xf numFmtId="9" fontId="57" fillId="23" borderId="0" xfId="167" applyFont="1" applyFill="1" applyAlignment="1">
      <alignment horizontal="center"/>
    </xf>
    <xf numFmtId="0" fontId="56" fillId="0" borderId="0" xfId="166" quotePrefix="1" applyFont="1"/>
    <xf numFmtId="9" fontId="57" fillId="5" borderId="0" xfId="167" applyFont="1" applyFill="1" applyAlignment="1">
      <alignment horizontal="center"/>
    </xf>
    <xf numFmtId="0" fontId="57" fillId="0" borderId="0" xfId="166" applyFont="1" applyAlignment="1">
      <alignment horizontal="right"/>
    </xf>
    <xf numFmtId="179" fontId="57" fillId="0" borderId="0" xfId="167" applyNumberFormat="1" applyFont="1"/>
    <xf numFmtId="0" fontId="57" fillId="0" borderId="0" xfId="166" applyFont="1" applyBorder="1"/>
    <xf numFmtId="9" fontId="57" fillId="26" borderId="0" xfId="167" applyFont="1" applyFill="1" applyBorder="1"/>
    <xf numFmtId="179" fontId="57" fillId="23" borderId="0" xfId="167" applyNumberFormat="1" applyFont="1" applyFill="1" applyAlignment="1"/>
    <xf numFmtId="9" fontId="57" fillId="15" borderId="0" xfId="167" applyFont="1" applyFill="1" applyBorder="1" applyAlignment="1"/>
    <xf numFmtId="0" fontId="57" fillId="30" borderId="0" xfId="166" applyFont="1" applyFill="1" applyBorder="1"/>
    <xf numFmtId="0" fontId="57" fillId="0" borderId="0" xfId="166" applyFont="1" applyFill="1" applyBorder="1"/>
    <xf numFmtId="0" fontId="32" fillId="0" borderId="0" xfId="166" applyFont="1" applyBorder="1"/>
    <xf numFmtId="0" fontId="57" fillId="8" borderId="0" xfId="166" applyFont="1" applyFill="1" applyBorder="1"/>
    <xf numFmtId="179" fontId="57" fillId="5" borderId="0" xfId="167" applyNumberFormat="1" applyFont="1" applyFill="1" applyBorder="1" applyAlignment="1">
      <alignment vertical="top"/>
    </xf>
    <xf numFmtId="6" fontId="32" fillId="34" borderId="0" xfId="169" applyNumberFormat="1" applyFont="1" applyFill="1"/>
    <xf numFmtId="0" fontId="32" fillId="8" borderId="0" xfId="166" applyFont="1" applyFill="1" applyBorder="1"/>
    <xf numFmtId="179" fontId="32" fillId="5" borderId="0" xfId="167" applyNumberFormat="1" applyFont="1" applyFill="1" applyBorder="1" applyAlignment="1">
      <alignment vertical="top"/>
    </xf>
    <xf numFmtId="9" fontId="27" fillId="15" borderId="0" xfId="167" applyFont="1" applyFill="1" applyBorder="1" applyAlignment="1"/>
    <xf numFmtId="6" fontId="32" fillId="5" borderId="0" xfId="169" applyNumberFormat="1" applyFont="1" applyFill="1" applyBorder="1"/>
    <xf numFmtId="9" fontId="57" fillId="5" borderId="0" xfId="169" applyNumberFormat="1" applyFont="1" applyFill="1" applyBorder="1"/>
    <xf numFmtId="9" fontId="32" fillId="5" borderId="0" xfId="169" applyNumberFormat="1" applyFont="1" applyFill="1" applyBorder="1"/>
    <xf numFmtId="0" fontId="0" fillId="23" borderId="0" xfId="103" applyFont="1" applyFill="1"/>
    <xf numFmtId="9" fontId="57" fillId="5" borderId="0" xfId="173" applyNumberFormat="1" applyFont="1" applyFill="1"/>
    <xf numFmtId="3" fontId="57" fillId="0" borderId="0" xfId="169" applyNumberFormat="1" applyFont="1"/>
    <xf numFmtId="6" fontId="0" fillId="5" borderId="0" xfId="169" quotePrefix="1" applyNumberFormat="1" applyFont="1" applyFill="1"/>
    <xf numFmtId="183" fontId="32" fillId="5" borderId="0" xfId="173" applyNumberFormat="1" applyFont="1" applyFill="1"/>
    <xf numFmtId="9" fontId="32" fillId="5" borderId="0" xfId="173" applyNumberFormat="1" applyFont="1" applyFill="1"/>
    <xf numFmtId="9" fontId="0" fillId="0" borderId="0" xfId="0" applyNumberFormat="1"/>
    <xf numFmtId="9" fontId="0" fillId="23" borderId="0" xfId="166" applyNumberFormat="1" applyFont="1" applyFill="1" applyBorder="1"/>
    <xf numFmtId="0" fontId="0" fillId="23" borderId="0" xfId="166" applyFont="1" applyFill="1" applyBorder="1"/>
    <xf numFmtId="9" fontId="27" fillId="26" borderId="0" xfId="166" applyNumberFormat="1" applyFont="1" applyFill="1" applyBorder="1"/>
    <xf numFmtId="0" fontId="27" fillId="26" borderId="0" xfId="166" applyNumberFormat="1" applyFont="1" applyFill="1" applyBorder="1"/>
    <xf numFmtId="9" fontId="57" fillId="0" borderId="0" xfId="169" applyNumberFormat="1" applyFont="1"/>
    <xf numFmtId="9" fontId="0" fillId="0" borderId="0" xfId="0" applyNumberFormat="1" applyAlignment="1">
      <alignment horizontal="right"/>
    </xf>
    <xf numFmtId="0" fontId="27" fillId="24" borderId="0" xfId="166" quotePrefix="1" applyNumberFormat="1" applyFont="1" applyFill="1" applyBorder="1"/>
    <xf numFmtId="0" fontId="32" fillId="5" borderId="0" xfId="167" applyNumberFormat="1" applyFont="1" applyFill="1" applyBorder="1" applyAlignment="1">
      <alignment vertical="top"/>
    </xf>
    <xf numFmtId="0" fontId="0" fillId="0" borderId="0" xfId="166" applyFont="1"/>
    <xf numFmtId="0" fontId="0" fillId="0" borderId="0" xfId="166" applyFont="1" applyBorder="1"/>
    <xf numFmtId="0" fontId="57" fillId="5" borderId="0" xfId="167" applyNumberFormat="1" applyFont="1" applyFill="1" applyBorder="1" applyAlignment="1">
      <alignment vertical="top"/>
    </xf>
    <xf numFmtId="9" fontId="27" fillId="26" borderId="0" xfId="166" quotePrefix="1" applyNumberFormat="1" applyFont="1" applyFill="1" applyBorder="1"/>
    <xf numFmtId="179" fontId="62" fillId="23" borderId="2" xfId="171" applyNumberFormat="1" applyFont="1" applyFill="1" applyBorder="1" applyAlignment="1"/>
    <xf numFmtId="0" fontId="0" fillId="8" borderId="0" xfId="166" applyFont="1" applyFill="1" applyBorder="1"/>
    <xf numFmtId="0" fontId="56" fillId="8" borderId="0" xfId="166" applyFont="1" applyFill="1" applyBorder="1"/>
    <xf numFmtId="9" fontId="57" fillId="5" borderId="0" xfId="167" applyNumberFormat="1" applyFont="1" applyFill="1" applyBorder="1" applyAlignment="1">
      <alignment vertical="top"/>
    </xf>
    <xf numFmtId="0" fontId="57" fillId="32" borderId="0" xfId="103" applyNumberFormat="1" applyFont="1" applyFill="1" applyAlignment="1">
      <alignment horizontal="center"/>
    </xf>
    <xf numFmtId="0" fontId="27" fillId="24" borderId="0" xfId="103" applyNumberFormat="1" applyFont="1" applyFill="1" applyAlignment="1">
      <alignment horizontal="center"/>
    </xf>
    <xf numFmtId="0" fontId="57" fillId="0" borderId="0" xfId="169" applyFont="1" applyFill="1" applyBorder="1"/>
    <xf numFmtId="0" fontId="57" fillId="4" borderId="0" xfId="169" applyFont="1" applyFill="1"/>
    <xf numFmtId="0" fontId="17" fillId="0" borderId="0" xfId="169" applyFont="1"/>
    <xf numFmtId="8" fontId="0" fillId="0" borderId="0" xfId="0" applyNumberFormat="1" applyAlignment="1">
      <alignment horizontal="center"/>
    </xf>
    <xf numFmtId="8" fontId="63" fillId="5" borderId="0" xfId="173" applyNumberFormat="1" applyFont="1" applyFill="1"/>
    <xf numFmtId="8" fontId="125" fillId="24" borderId="0" xfId="173" applyNumberFormat="1" applyFont="1" applyFill="1"/>
    <xf numFmtId="0" fontId="63" fillId="0" borderId="0" xfId="169" applyFont="1"/>
    <xf numFmtId="0" fontId="128" fillId="0" borderId="0" xfId="169" applyFont="1"/>
    <xf numFmtId="0" fontId="16" fillId="0" borderId="0" xfId="176" applyFont="1"/>
    <xf numFmtId="185" fontId="110" fillId="32" borderId="0" xfId="176" applyNumberFormat="1" applyFont="1" applyFill="1" applyBorder="1" applyAlignment="1">
      <alignment horizontal="center"/>
    </xf>
    <xf numFmtId="179" fontId="84" fillId="26" borderId="0" xfId="166" quotePrefix="1" applyNumberFormat="1" applyFont="1" applyFill="1" applyBorder="1"/>
    <xf numFmtId="179" fontId="84" fillId="26" borderId="0" xfId="166" applyNumberFormat="1" applyFont="1" applyFill="1" applyBorder="1"/>
    <xf numFmtId="2" fontId="27" fillId="26" borderId="0" xfId="166" applyNumberFormat="1" applyFont="1" applyFill="1" applyBorder="1"/>
    <xf numFmtId="0" fontId="64" fillId="0" borderId="0" xfId="0" applyFont="1"/>
    <xf numFmtId="0" fontId="15" fillId="0" borderId="0" xfId="176" applyFont="1"/>
    <xf numFmtId="8" fontId="22" fillId="0" borderId="0" xfId="176" applyNumberFormat="1" applyAlignment="1">
      <alignment horizontal="center"/>
    </xf>
    <xf numFmtId="0" fontId="22" fillId="0" borderId="0" xfId="176" applyBorder="1"/>
    <xf numFmtId="0" fontId="22" fillId="0" borderId="0" xfId="176" applyBorder="1" applyAlignment="1">
      <alignment horizontal="center"/>
    </xf>
    <xf numFmtId="185" fontId="22" fillId="32" borderId="0" xfId="176" applyNumberFormat="1" applyFont="1" applyFill="1" applyBorder="1" applyAlignment="1">
      <alignment horizontal="center"/>
    </xf>
    <xf numFmtId="0" fontId="130" fillId="0" borderId="0" xfId="176" applyFont="1" applyAlignment="1">
      <alignment horizontal="left" indent="1"/>
    </xf>
    <xf numFmtId="0" fontId="110" fillId="0" borderId="0" xfId="176" applyFont="1" applyAlignment="1">
      <alignment horizontal="left"/>
    </xf>
    <xf numFmtId="0" fontId="110" fillId="32" borderId="0" xfId="176" applyNumberFormat="1" applyFont="1" applyFill="1" applyBorder="1" applyAlignment="1">
      <alignment horizontal="center"/>
    </xf>
    <xf numFmtId="0" fontId="57" fillId="0" borderId="0" xfId="183" applyFont="1"/>
    <xf numFmtId="0" fontId="57" fillId="5" borderId="0" xfId="183" applyFont="1" applyFill="1" applyBorder="1" applyAlignment="1">
      <alignment horizontal="center"/>
    </xf>
    <xf numFmtId="0" fontId="57" fillId="0" borderId="0" xfId="183" applyFont="1" applyAlignment="1">
      <alignment horizontal="left"/>
    </xf>
    <xf numFmtId="0" fontId="57" fillId="0" borderId="0" xfId="183" applyFont="1" applyAlignment="1">
      <alignment horizontal="center"/>
    </xf>
    <xf numFmtId="0" fontId="57" fillId="0" borderId="0" xfId="183" applyFont="1" applyAlignment="1">
      <alignment horizontal="right"/>
    </xf>
    <xf numFmtId="0" fontId="57" fillId="5" borderId="29" xfId="0" applyFont="1" applyFill="1" applyBorder="1" applyAlignment="1">
      <alignment horizontal="center"/>
    </xf>
    <xf numFmtId="0" fontId="57" fillId="5" borderId="20" xfId="0" applyFont="1" applyFill="1" applyBorder="1" applyAlignment="1">
      <alignment horizontal="center"/>
    </xf>
    <xf numFmtId="0" fontId="57" fillId="5" borderId="28" xfId="0" applyFont="1" applyFill="1" applyBorder="1" applyAlignment="1">
      <alignment horizontal="center"/>
    </xf>
    <xf numFmtId="0" fontId="57" fillId="5" borderId="0" xfId="0" applyFont="1" applyFill="1" applyAlignment="1">
      <alignment horizontal="right"/>
    </xf>
    <xf numFmtId="0" fontId="57" fillId="5" borderId="26" xfId="0" applyFont="1" applyFill="1" applyBorder="1" applyAlignment="1">
      <alignment horizontal="center"/>
    </xf>
    <xf numFmtId="0" fontId="57" fillId="5" borderId="0" xfId="0" applyFont="1" applyFill="1" applyBorder="1" applyAlignment="1">
      <alignment horizontal="center"/>
    </xf>
    <xf numFmtId="0" fontId="57" fillId="5" borderId="25" xfId="0" applyFont="1" applyFill="1" applyBorder="1" applyAlignment="1">
      <alignment horizontal="center"/>
    </xf>
    <xf numFmtId="0" fontId="57" fillId="5" borderId="23" xfId="0" applyFont="1" applyFill="1" applyBorder="1" applyAlignment="1">
      <alignment horizontal="center"/>
    </xf>
    <xf numFmtId="0" fontId="57" fillId="5" borderId="22" xfId="0" applyFont="1" applyFill="1" applyBorder="1" applyAlignment="1">
      <alignment horizontal="center"/>
    </xf>
    <xf numFmtId="0" fontId="57" fillId="5" borderId="21" xfId="0" applyFont="1" applyFill="1" applyBorder="1" applyAlignment="1">
      <alignment horizontal="center"/>
    </xf>
    <xf numFmtId="0" fontId="57" fillId="5" borderId="0" xfId="0" applyFont="1" applyFill="1" applyAlignment="1">
      <alignment horizontal="center"/>
    </xf>
    <xf numFmtId="0" fontId="0" fillId="0" borderId="0" xfId="0" applyFont="1" applyBorder="1" applyAlignment="1" applyProtection="1">
      <alignment horizontal="left"/>
      <protection locked="0"/>
    </xf>
    <xf numFmtId="0" fontId="0" fillId="0" borderId="0" xfId="0" applyFont="1" applyBorder="1" applyProtection="1">
      <protection locked="0"/>
    </xf>
    <xf numFmtId="0" fontId="64" fillId="0" borderId="0" xfId="0" applyFont="1" applyProtection="1">
      <protection locked="0"/>
    </xf>
    <xf numFmtId="0" fontId="0" fillId="38" borderId="20" xfId="0" applyFont="1" applyFill="1" applyBorder="1" applyProtection="1"/>
    <xf numFmtId="186" fontId="0" fillId="38" borderId="20" xfId="0" applyNumberFormat="1" applyFont="1" applyFill="1" applyBorder="1" applyProtection="1"/>
    <xf numFmtId="0" fontId="0" fillId="38" borderId="28" xfId="0" applyFont="1" applyFill="1" applyBorder="1" applyProtection="1"/>
    <xf numFmtId="0" fontId="0" fillId="0" borderId="22" xfId="0" applyFont="1" applyBorder="1" applyAlignment="1" applyProtection="1">
      <alignment horizontal="center" vertical="center" wrapText="1"/>
    </xf>
    <xf numFmtId="0" fontId="0" fillId="0" borderId="21" xfId="0" applyFont="1" applyBorder="1" applyAlignment="1" applyProtection="1">
      <alignment horizontal="center" vertical="center" wrapText="1"/>
    </xf>
    <xf numFmtId="0" fontId="0" fillId="0" borderId="0" xfId="0" applyFont="1"/>
    <xf numFmtId="0" fontId="131" fillId="0" borderId="0" xfId="0" applyFont="1"/>
    <xf numFmtId="0" fontId="132" fillId="0" borderId="0" xfId="0" applyFont="1"/>
    <xf numFmtId="0" fontId="62" fillId="12" borderId="29" xfId="0" applyFont="1" applyFill="1" applyBorder="1" applyAlignment="1">
      <alignment horizontal="center"/>
    </xf>
    <xf numFmtId="0" fontId="62" fillId="12" borderId="20" xfId="0" applyFont="1" applyFill="1" applyBorder="1" applyAlignment="1">
      <alignment horizontal="center"/>
    </xf>
    <xf numFmtId="0" fontId="0" fillId="0" borderId="28" xfId="0" applyFont="1" applyBorder="1"/>
    <xf numFmtId="0" fontId="0" fillId="0" borderId="0" xfId="0" applyFont="1" applyBorder="1"/>
    <xf numFmtId="0" fontId="0" fillId="0" borderId="0" xfId="0" applyFont="1" applyAlignment="1">
      <alignment wrapText="1"/>
    </xf>
    <xf numFmtId="0" fontId="62" fillId="12" borderId="23" xfId="0" applyFont="1" applyFill="1" applyBorder="1" applyAlignment="1">
      <alignment horizontal="center"/>
    </xf>
    <xf numFmtId="0" fontId="62" fillId="12" borderId="22" xfId="0" applyFont="1" applyFill="1" applyBorder="1" applyAlignment="1">
      <alignment horizontal="center"/>
    </xf>
    <xf numFmtId="0" fontId="0" fillId="0" borderId="21" xfId="0" applyFont="1" applyBorder="1"/>
    <xf numFmtId="0" fontId="0" fillId="0" borderId="0" xfId="0" applyFont="1" applyProtection="1">
      <protection locked="0"/>
    </xf>
    <xf numFmtId="186" fontId="0" fillId="5" borderId="43" xfId="0" applyNumberFormat="1" applyFont="1" applyFill="1" applyBorder="1"/>
    <xf numFmtId="0" fontId="0" fillId="0" borderId="44" xfId="0" applyFont="1" applyBorder="1" applyProtection="1">
      <protection locked="0"/>
    </xf>
    <xf numFmtId="0" fontId="32" fillId="0" borderId="0" xfId="183" applyFont="1" applyAlignment="1">
      <alignment horizontal="center"/>
    </xf>
    <xf numFmtId="0" fontId="56" fillId="0" borderId="0" xfId="0" applyFont="1"/>
    <xf numFmtId="0" fontId="57" fillId="0" borderId="0" xfId="0" applyFont="1" applyAlignment="1">
      <alignment horizontal="center"/>
    </xf>
    <xf numFmtId="0" fontId="62" fillId="23" borderId="11" xfId="0" applyFont="1" applyFill="1" applyBorder="1" applyAlignment="1" applyProtection="1">
      <alignment vertical="top" wrapText="1"/>
      <protection locked="0"/>
    </xf>
    <xf numFmtId="0" fontId="27" fillId="26" borderId="11" xfId="0" applyFont="1" applyFill="1" applyBorder="1" applyAlignment="1" applyProtection="1">
      <alignment vertical="top" wrapText="1"/>
      <protection locked="0"/>
    </xf>
    <xf numFmtId="0" fontId="0" fillId="23" borderId="11" xfId="0" applyFont="1" applyFill="1" applyBorder="1" applyProtection="1">
      <protection locked="0"/>
    </xf>
    <xf numFmtId="0" fontId="0" fillId="23" borderId="11" xfId="0" applyFont="1" applyFill="1" applyBorder="1" applyAlignment="1" applyProtection="1">
      <alignment horizontal="center"/>
      <protection locked="0"/>
    </xf>
    <xf numFmtId="187" fontId="0" fillId="23" borderId="11" xfId="0" applyNumberFormat="1" applyFont="1" applyFill="1" applyBorder="1" applyProtection="1">
      <protection locked="0"/>
    </xf>
    <xf numFmtId="0" fontId="0" fillId="8" borderId="10" xfId="0" applyFont="1" applyFill="1" applyBorder="1" applyAlignment="1" applyProtection="1">
      <alignment horizontal="center"/>
      <protection locked="0"/>
    </xf>
    <xf numFmtId="0" fontId="64" fillId="0" borderId="0" xfId="0" applyFont="1" applyFill="1"/>
    <xf numFmtId="0" fontId="64" fillId="0" borderId="0" xfId="0" applyFont="1" applyFill="1" applyProtection="1">
      <protection locked="0"/>
    </xf>
    <xf numFmtId="0" fontId="56" fillId="0" borderId="0" xfId="0" applyFont="1" applyProtection="1">
      <protection locked="0"/>
    </xf>
    <xf numFmtId="0" fontId="56" fillId="39" borderId="0" xfId="0" applyFont="1" applyFill="1"/>
    <xf numFmtId="0" fontId="0" fillId="0" borderId="0" xfId="0" applyFont="1" applyFill="1" applyBorder="1"/>
    <xf numFmtId="0" fontId="83" fillId="0" borderId="0" xfId="0" applyFont="1"/>
    <xf numFmtId="0" fontId="57" fillId="0" borderId="0" xfId="184" applyFont="1"/>
    <xf numFmtId="0" fontId="57" fillId="0" borderId="0" xfId="184" applyFont="1" applyFill="1" applyBorder="1"/>
    <xf numFmtId="0" fontId="67" fillId="3" borderId="0" xfId="0" applyFont="1" applyFill="1" applyAlignment="1">
      <alignment vertical="center"/>
    </xf>
    <xf numFmtId="0" fontId="67" fillId="3" borderId="0" xfId="0" applyFont="1" applyFill="1" applyAlignment="1">
      <alignment horizontal="right" vertical="center"/>
    </xf>
    <xf numFmtId="0" fontId="67" fillId="3" borderId="0" xfId="0" applyFont="1" applyFill="1"/>
    <xf numFmtId="0" fontId="57" fillId="0" borderId="0" xfId="184" applyFont="1" applyBorder="1" applyAlignment="1">
      <alignment horizontal="center" vertical="center"/>
    </xf>
    <xf numFmtId="0" fontId="27" fillId="24" borderId="0" xfId="184" applyFont="1" applyFill="1" applyAlignment="1">
      <alignment horizontal="center"/>
    </xf>
    <xf numFmtId="0" fontId="27" fillId="26" borderId="0" xfId="184" applyFont="1" applyFill="1" applyAlignment="1">
      <alignment horizontal="center"/>
    </xf>
    <xf numFmtId="0" fontId="57" fillId="0" borderId="0" xfId="184" applyFont="1" applyAlignment="1">
      <alignment vertical="center"/>
    </xf>
    <xf numFmtId="0" fontId="57" fillId="0" borderId="0" xfId="184" applyFont="1" applyAlignment="1">
      <alignment horizontal="center" vertical="center"/>
    </xf>
    <xf numFmtId="0" fontId="57" fillId="5" borderId="0" xfId="184" applyFont="1" applyFill="1" applyAlignment="1">
      <alignment vertical="center"/>
    </xf>
    <xf numFmtId="0" fontId="32" fillId="0" borderId="0" xfId="184" applyFont="1" applyAlignment="1">
      <alignment horizontal="left" vertical="center"/>
    </xf>
    <xf numFmtId="0" fontId="57" fillId="0" borderId="0" xfId="184" applyFont="1" applyBorder="1" applyAlignment="1">
      <alignment vertical="center"/>
    </xf>
    <xf numFmtId="0" fontId="27" fillId="24" borderId="0" xfId="184" applyFont="1" applyFill="1"/>
    <xf numFmtId="0" fontId="27" fillId="4" borderId="0" xfId="184" applyFont="1" applyFill="1"/>
    <xf numFmtId="0" fontId="27" fillId="4" borderId="0" xfId="184" applyFont="1" applyFill="1" applyAlignment="1">
      <alignment horizontal="center"/>
    </xf>
    <xf numFmtId="0" fontId="67" fillId="4" borderId="0" xfId="184" applyFont="1" applyFill="1" applyAlignment="1">
      <alignment horizontal="left" vertical="center"/>
    </xf>
    <xf numFmtId="0" fontId="27" fillId="26" borderId="0" xfId="184" quotePrefix="1" applyFont="1" applyFill="1" applyAlignment="1">
      <alignment horizontal="center" vertical="center"/>
    </xf>
    <xf numFmtId="0" fontId="57" fillId="5" borderId="0" xfId="184" applyFont="1" applyFill="1" applyAlignment="1">
      <alignment horizontal="center" vertical="center"/>
    </xf>
    <xf numFmtId="0" fontId="27" fillId="26" borderId="20" xfId="184" quotePrefix="1" applyFont="1" applyFill="1" applyBorder="1" applyAlignment="1">
      <alignment horizontal="center" vertical="center"/>
    </xf>
    <xf numFmtId="0" fontId="57" fillId="0" borderId="20" xfId="184" applyFont="1" applyBorder="1" applyAlignment="1">
      <alignment vertical="center"/>
    </xf>
    <xf numFmtId="0" fontId="57" fillId="5" borderId="20" xfId="184" applyFont="1" applyFill="1" applyBorder="1" applyAlignment="1">
      <alignment horizontal="center" vertical="center"/>
    </xf>
    <xf numFmtId="0" fontId="57" fillId="0" borderId="20" xfId="184" applyFont="1" applyBorder="1" applyAlignment="1">
      <alignment horizontal="center" vertical="center"/>
    </xf>
    <xf numFmtId="0" fontId="27" fillId="4" borderId="0" xfId="184" applyFont="1" applyFill="1" applyBorder="1" applyAlignment="1">
      <alignment vertical="center"/>
    </xf>
    <xf numFmtId="0" fontId="27" fillId="4" borderId="0" xfId="184" applyFont="1" applyFill="1" applyAlignment="1">
      <alignment horizontal="center" vertical="center"/>
    </xf>
    <xf numFmtId="0" fontId="57" fillId="0" borderId="0" xfId="184" applyFont="1" applyAlignment="1">
      <alignment horizontal="center"/>
    </xf>
    <xf numFmtId="0" fontId="83" fillId="0" borderId="0" xfId="184" applyFont="1"/>
    <xf numFmtId="0" fontId="62" fillId="0" borderId="0" xfId="184" quotePrefix="1" applyFont="1"/>
    <xf numFmtId="0" fontId="57" fillId="5" borderId="0" xfId="184" applyFont="1" applyFill="1"/>
    <xf numFmtId="0" fontId="27" fillId="26" borderId="0" xfId="184" applyFont="1" applyFill="1"/>
    <xf numFmtId="0" fontId="58" fillId="0" borderId="0" xfId="184" applyFont="1"/>
    <xf numFmtId="0" fontId="57" fillId="23" borderId="0" xfId="184" applyFont="1" applyFill="1"/>
    <xf numFmtId="0" fontId="32" fillId="0" borderId="0" xfId="184" applyFont="1"/>
    <xf numFmtId="0" fontId="27" fillId="4" borderId="0" xfId="184" applyFont="1" applyFill="1" applyAlignment="1">
      <alignment horizontal="left"/>
    </xf>
    <xf numFmtId="0" fontId="56" fillId="0" borderId="0" xfId="184" applyFont="1"/>
    <xf numFmtId="0" fontId="27" fillId="3" borderId="0" xfId="184" applyFont="1" applyFill="1"/>
    <xf numFmtId="0" fontId="27" fillId="3" borderId="0" xfId="184" applyFont="1" applyFill="1" applyAlignment="1">
      <alignment horizontal="center"/>
    </xf>
    <xf numFmtId="0" fontId="67" fillId="3" borderId="0" xfId="184" applyFont="1" applyFill="1" applyAlignment="1">
      <alignment vertical="center"/>
    </xf>
    <xf numFmtId="0" fontId="84" fillId="3" borderId="0" xfId="184" applyFont="1" applyFill="1" applyAlignment="1">
      <alignment vertical="center"/>
    </xf>
    <xf numFmtId="0" fontId="67" fillId="24" borderId="0" xfId="184" applyFont="1" applyFill="1" applyAlignment="1">
      <alignment horizontal="center"/>
    </xf>
    <xf numFmtId="0" fontId="67" fillId="3" borderId="0" xfId="184" applyFont="1" applyFill="1"/>
    <xf numFmtId="0" fontId="64" fillId="15" borderId="0" xfId="0" applyFont="1" applyFill="1"/>
    <xf numFmtId="0" fontId="0" fillId="5" borderId="0" xfId="0" applyNumberFormat="1" applyFill="1" applyAlignment="1">
      <alignment horizontal="center" vertical="center"/>
    </xf>
    <xf numFmtId="0" fontId="0" fillId="0" borderId="0" xfId="0" quotePrefix="1" applyNumberFormat="1" applyBorder="1" applyAlignment="1">
      <alignment horizontal="center"/>
    </xf>
    <xf numFmtId="0" fontId="0" fillId="15" borderId="0" xfId="0" applyFill="1" applyBorder="1" applyAlignment="1">
      <alignment horizontal="center"/>
    </xf>
    <xf numFmtId="0" fontId="0" fillId="0" borderId="0" xfId="0" applyAlignment="1">
      <alignment horizontal="left"/>
    </xf>
    <xf numFmtId="0" fontId="0" fillId="5" borderId="26" xfId="0" applyFill="1" applyBorder="1" applyAlignment="1">
      <alignment vertical="center"/>
    </xf>
    <xf numFmtId="0" fontId="70" fillId="5" borderId="0" xfId="0" applyFont="1" applyFill="1" applyAlignment="1">
      <alignment horizontal="center" vertical="center"/>
    </xf>
    <xf numFmtId="0" fontId="70" fillId="23" borderId="0" xfId="0" quotePrefix="1" applyFont="1" applyFill="1" applyAlignment="1">
      <alignment horizontal="left" vertical="center"/>
    </xf>
    <xf numFmtId="0" fontId="70" fillId="35" borderId="0" xfId="0" applyFont="1" applyFill="1" applyBorder="1"/>
    <xf numFmtId="0" fontId="70" fillId="36" borderId="0" xfId="0" applyFont="1" applyFill="1" applyBorder="1"/>
    <xf numFmtId="0" fontId="101" fillId="37" borderId="0" xfId="0" applyFont="1" applyFill="1" applyBorder="1"/>
    <xf numFmtId="0" fontId="78" fillId="0" borderId="0" xfId="163" applyFont="1" applyAlignment="1">
      <alignment horizontal="left"/>
    </xf>
    <xf numFmtId="0" fontId="27" fillId="24" borderId="0" xfId="0" quotePrefix="1" applyFont="1" applyFill="1" applyAlignment="1">
      <alignment horizontal="center" vertical="center"/>
    </xf>
    <xf numFmtId="188" fontId="0" fillId="5" borderId="0" xfId="0" quotePrefix="1" applyNumberFormat="1" applyFill="1" applyAlignment="1">
      <alignment horizontal="center" vertical="center"/>
    </xf>
    <xf numFmtId="0" fontId="57" fillId="0" borderId="0" xfId="184" applyFont="1" applyFill="1" applyBorder="1" applyAlignment="1">
      <alignment horizontal="center"/>
    </xf>
    <xf numFmtId="0" fontId="57" fillId="0" borderId="0" xfId="0" applyFont="1" applyFill="1" applyBorder="1" applyAlignment="1">
      <alignment horizontal="center"/>
    </xf>
    <xf numFmtId="0" fontId="57" fillId="0" borderId="0" xfId="184" applyFont="1" applyFill="1" applyAlignment="1">
      <alignment horizontal="center"/>
    </xf>
    <xf numFmtId="0" fontId="78" fillId="0" borderId="0" xfId="163" applyFont="1" applyFill="1" applyBorder="1" applyAlignment="1">
      <alignment horizontal="center"/>
    </xf>
    <xf numFmtId="0" fontId="58" fillId="0" borderId="0" xfId="0" applyFont="1" applyAlignment="1">
      <alignment horizontal="center"/>
    </xf>
    <xf numFmtId="0" fontId="83" fillId="0" borderId="0" xfId="0" applyFont="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wrapText="1"/>
    </xf>
    <xf numFmtId="0" fontId="32" fillId="0" borderId="0" xfId="0" applyFont="1" applyAlignment="1">
      <alignment horizontal="center" vertical="center" wrapText="1"/>
    </xf>
    <xf numFmtId="0" fontId="0" fillId="0" borderId="0" xfId="0" applyAlignment="1">
      <alignment horizontal="left" vertical="center" wrapText="1"/>
    </xf>
    <xf numFmtId="3" fontId="32" fillId="34" borderId="0" xfId="0" applyNumberFormat="1" applyFont="1" applyFill="1" applyAlignment="1">
      <alignment horizontal="center"/>
    </xf>
    <xf numFmtId="9" fontId="0" fillId="34" borderId="19" xfId="0" applyNumberFormat="1" applyFill="1" applyBorder="1" applyAlignment="1">
      <alignment horizontal="center"/>
    </xf>
    <xf numFmtId="0" fontId="27" fillId="29" borderId="0" xfId="0" applyFont="1" applyFill="1"/>
    <xf numFmtId="0" fontId="27" fillId="29" borderId="0" xfId="0" applyFont="1" applyFill="1" applyAlignment="1">
      <alignment horizontal="left"/>
    </xf>
    <xf numFmtId="0" fontId="67" fillId="29" borderId="0" xfId="0" applyFont="1" applyFill="1" applyAlignment="1">
      <alignment horizontal="center"/>
    </xf>
    <xf numFmtId="179" fontId="32" fillId="34" borderId="0" xfId="0" applyNumberFormat="1" applyFont="1" applyFill="1" applyAlignment="1">
      <alignment horizontal="center"/>
    </xf>
    <xf numFmtId="0" fontId="90" fillId="8" borderId="0" xfId="0" applyFont="1" applyFill="1" applyBorder="1" applyAlignment="1" applyProtection="1">
      <alignment horizontal="left" vertical="center" indent="1"/>
    </xf>
    <xf numFmtId="0" fontId="0" fillId="8" borderId="0" xfId="0" applyFont="1" applyFill="1" applyBorder="1"/>
    <xf numFmtId="0" fontId="29" fillId="31" borderId="0" xfId="0" applyFont="1" applyFill="1" applyAlignment="1">
      <alignment horizontal="left" vertical="center"/>
    </xf>
    <xf numFmtId="0" fontId="29" fillId="31" borderId="0" xfId="0" applyFont="1" applyFill="1" applyAlignment="1">
      <alignment horizontal="center" vertical="center"/>
    </xf>
    <xf numFmtId="0" fontId="29" fillId="31" borderId="0" xfId="0" applyFont="1" applyFill="1" applyAlignment="1">
      <alignment horizontal="center" vertical="center" wrapText="1"/>
    </xf>
    <xf numFmtId="0" fontId="135" fillId="31" borderId="0" xfId="0" applyFont="1" applyFill="1" applyAlignment="1">
      <alignment horizontal="left" vertical="center"/>
    </xf>
    <xf numFmtId="0" fontId="14" fillId="0" borderId="0" xfId="176" applyFont="1"/>
    <xf numFmtId="0" fontId="136" fillId="40" borderId="0" xfId="0" applyFont="1" applyFill="1" applyBorder="1" applyAlignment="1" applyProtection="1">
      <alignment horizontal="center" vertical="center"/>
    </xf>
    <xf numFmtId="0" fontId="97" fillId="40" borderId="0" xfId="0" applyFont="1" applyFill="1" applyBorder="1" applyAlignment="1" applyProtection="1">
      <alignment vertical="center"/>
    </xf>
    <xf numFmtId="0" fontId="136" fillId="40" borderId="0" xfId="0" applyFont="1" applyFill="1" applyBorder="1" applyAlignment="1" applyProtection="1">
      <alignment vertical="center"/>
    </xf>
    <xf numFmtId="0" fontId="117" fillId="40" borderId="0" xfId="0" applyFont="1" applyFill="1" applyBorder="1" applyAlignment="1" applyProtection="1">
      <alignment horizontal="center" vertical="center"/>
    </xf>
    <xf numFmtId="0" fontId="73" fillId="40" borderId="0" xfId="0" applyFont="1" applyFill="1" applyBorder="1" applyAlignment="1" applyProtection="1">
      <alignment horizontal="center" vertical="center"/>
    </xf>
    <xf numFmtId="0" fontId="72" fillId="40" borderId="0" xfId="0" applyFont="1" applyFill="1" applyBorder="1" applyAlignment="1" applyProtection="1">
      <alignment horizontal="center" vertical="center"/>
    </xf>
    <xf numFmtId="0" fontId="74" fillId="40" borderId="0" xfId="0" applyFont="1" applyFill="1" applyBorder="1" applyAlignment="1" applyProtection="1">
      <alignment vertical="center"/>
    </xf>
    <xf numFmtId="0" fontId="75" fillId="40" borderId="0" xfId="0" applyFont="1" applyFill="1" applyBorder="1" applyAlignment="1" applyProtection="1">
      <alignment horizontal="center" vertical="center"/>
    </xf>
    <xf numFmtId="0" fontId="72" fillId="40" borderId="0" xfId="0" applyFont="1" applyFill="1" applyBorder="1" applyProtection="1"/>
    <xf numFmtId="0" fontId="74" fillId="40" borderId="0" xfId="0" applyFont="1" applyFill="1" applyBorder="1" applyAlignment="1" applyProtection="1">
      <alignment horizontal="center" vertical="center"/>
    </xf>
    <xf numFmtId="0" fontId="62" fillId="42" borderId="0" xfId="103" applyFont="1" applyFill="1"/>
    <xf numFmtId="0" fontId="27" fillId="8" borderId="0" xfId="103" applyFont="1" applyFill="1"/>
    <xf numFmtId="0" fontId="0" fillId="42" borderId="0" xfId="0" applyFill="1" applyAlignment="1">
      <alignment horizontal="center"/>
    </xf>
    <xf numFmtId="0" fontId="0" fillId="42" borderId="0" xfId="0" applyFill="1"/>
    <xf numFmtId="0" fontId="62" fillId="42" borderId="0" xfId="0" applyFont="1" applyFill="1"/>
    <xf numFmtId="6" fontId="79" fillId="42" borderId="0" xfId="0" applyNumberFormat="1" applyFont="1" applyFill="1" applyBorder="1" applyAlignment="1" applyProtection="1">
      <alignment horizontal="center" vertical="center"/>
    </xf>
    <xf numFmtId="9" fontId="79" fillId="42" borderId="0" xfId="0" applyNumberFormat="1" applyFont="1" applyFill="1" applyBorder="1" applyAlignment="1" applyProtection="1">
      <alignment horizontal="center" vertical="center"/>
    </xf>
    <xf numFmtId="9" fontId="79" fillId="42" borderId="0" xfId="0" applyNumberFormat="1" applyFont="1" applyFill="1" applyAlignment="1" applyProtection="1">
      <alignment horizontal="center" vertical="center"/>
    </xf>
    <xf numFmtId="0" fontId="79" fillId="42" borderId="0" xfId="0" applyNumberFormat="1" applyFont="1" applyFill="1" applyAlignment="1" applyProtection="1">
      <alignment horizontal="center" vertical="center"/>
    </xf>
    <xf numFmtId="0" fontId="0" fillId="28" borderId="19" xfId="0" applyFill="1" applyBorder="1"/>
    <xf numFmtId="0" fontId="101" fillId="28" borderId="0" xfId="103" applyFont="1" applyFill="1"/>
    <xf numFmtId="0" fontId="114" fillId="8" borderId="0" xfId="0" applyFont="1" applyFill="1" applyBorder="1" applyAlignment="1" applyProtection="1">
      <alignment horizontal="left" vertical="center" indent="1"/>
    </xf>
    <xf numFmtId="9" fontId="76" fillId="42" borderId="0" xfId="0" applyNumberFormat="1" applyFont="1" applyFill="1" applyAlignment="1" applyProtection="1">
      <alignment horizontal="center" vertical="center"/>
    </xf>
    <xf numFmtId="6" fontId="76" fillId="8" borderId="0" xfId="0" applyNumberFormat="1" applyFont="1" applyFill="1" applyAlignment="1" applyProtection="1">
      <alignment horizontal="center" vertical="center"/>
    </xf>
    <xf numFmtId="0" fontId="91" fillId="8" borderId="0" xfId="0" applyFont="1" applyFill="1" applyAlignment="1" applyProtection="1">
      <alignment horizontal="left" vertical="center" indent="1"/>
    </xf>
    <xf numFmtId="6" fontId="79" fillId="8" borderId="0" xfId="0" applyNumberFormat="1" applyFont="1" applyFill="1" applyAlignment="1" applyProtection="1">
      <alignment horizontal="center" vertical="center"/>
    </xf>
    <xf numFmtId="0" fontId="76" fillId="8" borderId="0" xfId="0" applyFont="1" applyFill="1" applyAlignment="1" applyProtection="1">
      <alignment horizontal="center"/>
    </xf>
    <xf numFmtId="0" fontId="73" fillId="8" borderId="0" xfId="0" applyFont="1" applyFill="1" applyAlignment="1" applyProtection="1">
      <alignment horizontal="center" vertical="center"/>
    </xf>
    <xf numFmtId="0" fontId="27" fillId="0" borderId="0" xfId="0" applyFont="1" applyFill="1" applyBorder="1" applyAlignment="1">
      <alignment horizontal="center" vertical="center"/>
    </xf>
    <xf numFmtId="0" fontId="119" fillId="8" borderId="0" xfId="0" applyFont="1" applyFill="1" applyAlignment="1" applyProtection="1">
      <alignment vertical="center"/>
    </xf>
    <xf numFmtId="0" fontId="138" fillId="8" borderId="0" xfId="0" applyFont="1" applyFill="1" applyAlignment="1" applyProtection="1">
      <alignment vertical="center"/>
    </xf>
    <xf numFmtId="179" fontId="27" fillId="6" borderId="0" xfId="167" applyNumberFormat="1" applyFont="1" applyFill="1" applyBorder="1"/>
    <xf numFmtId="0" fontId="27" fillId="6" borderId="0" xfId="167" applyNumberFormat="1" applyFont="1" applyFill="1" applyBorder="1"/>
    <xf numFmtId="0" fontId="27" fillId="0" borderId="0" xfId="166" applyFont="1"/>
    <xf numFmtId="0" fontId="137" fillId="0" borderId="0" xfId="169" applyFont="1"/>
    <xf numFmtId="0" fontId="27" fillId="0" borderId="0" xfId="0" applyFont="1" applyFill="1" applyAlignment="1">
      <alignment horizontal="center"/>
    </xf>
    <xf numFmtId="0" fontId="27" fillId="6" borderId="0" xfId="0" applyFont="1" applyFill="1" applyAlignment="1">
      <alignment horizontal="center"/>
    </xf>
    <xf numFmtId="3" fontId="27" fillId="6" borderId="0" xfId="0" applyNumberFormat="1" applyFont="1" applyFill="1" applyAlignment="1">
      <alignment horizontal="center"/>
    </xf>
    <xf numFmtId="9" fontId="27" fillId="6" borderId="0" xfId="0" applyNumberFormat="1" applyFont="1" applyFill="1" applyAlignment="1">
      <alignment horizontal="center"/>
    </xf>
    <xf numFmtId="6" fontId="27" fillId="6" borderId="0" xfId="0" applyNumberFormat="1" applyFont="1" applyFill="1" applyAlignment="1">
      <alignment horizontal="center"/>
    </xf>
    <xf numFmtId="0" fontId="27" fillId="6" borderId="0" xfId="0" applyFont="1" applyFill="1" applyBorder="1" applyAlignment="1">
      <alignment horizontal="center"/>
    </xf>
    <xf numFmtId="6" fontId="27" fillId="6" borderId="0" xfId="0" applyNumberFormat="1" applyFont="1" applyFill="1" applyBorder="1" applyAlignment="1">
      <alignment horizontal="center"/>
    </xf>
    <xf numFmtId="9" fontId="27" fillId="6" borderId="0" xfId="0" applyNumberFormat="1" applyFont="1" applyFill="1" applyBorder="1" applyAlignment="1">
      <alignment horizontal="center"/>
    </xf>
    <xf numFmtId="8" fontId="27" fillId="6" borderId="0" xfId="0" applyNumberFormat="1" applyFont="1" applyFill="1" applyAlignment="1">
      <alignment horizontal="center"/>
    </xf>
    <xf numFmtId="0" fontId="27" fillId="0" borderId="0" xfId="0" applyFont="1"/>
    <xf numFmtId="0" fontId="27" fillId="6" borderId="0" xfId="0" applyNumberFormat="1" applyFont="1" applyFill="1" applyAlignment="1">
      <alignment horizontal="center"/>
    </xf>
    <xf numFmtId="9" fontId="27" fillId="29" borderId="0" xfId="169" applyNumberFormat="1" applyFont="1" applyFill="1" applyAlignment="1">
      <alignment horizontal="left"/>
    </xf>
    <xf numFmtId="9" fontId="57" fillId="5" borderId="0" xfId="173" applyNumberFormat="1" applyFont="1" applyFill="1" applyAlignment="1">
      <alignment horizontal="center"/>
    </xf>
    <xf numFmtId="0" fontId="12" fillId="0" borderId="0" xfId="169" applyFont="1" applyAlignment="1">
      <alignment horizontal="center"/>
    </xf>
    <xf numFmtId="0" fontId="23" fillId="15" borderId="0" xfId="169" applyFill="1" applyAlignment="1">
      <alignment horizontal="center"/>
    </xf>
    <xf numFmtId="3" fontId="27" fillId="24" borderId="0" xfId="173" applyNumberFormat="1" applyFont="1" applyFill="1"/>
    <xf numFmtId="179" fontId="57" fillId="5" borderId="0" xfId="173" applyNumberFormat="1" applyFont="1" applyFill="1" applyAlignment="1">
      <alignment horizontal="center"/>
    </xf>
    <xf numFmtId="0" fontId="57" fillId="15" borderId="25" xfId="103" applyFont="1" applyFill="1" applyBorder="1" applyAlignment="1">
      <alignment horizontal="center"/>
    </xf>
    <xf numFmtId="9" fontId="119" fillId="8" borderId="0" xfId="0" applyNumberFormat="1" applyFont="1" applyFill="1" applyAlignment="1" applyProtection="1">
      <alignment horizontal="center" vertical="center"/>
    </xf>
    <xf numFmtId="9" fontId="27" fillId="6" borderId="0" xfId="167" applyNumberFormat="1" applyFont="1" applyFill="1" applyBorder="1"/>
    <xf numFmtId="179" fontId="57" fillId="0" borderId="0" xfId="166" applyNumberFormat="1" applyFont="1"/>
    <xf numFmtId="0" fontId="57" fillId="15" borderId="25" xfId="103" applyFont="1" applyFill="1" applyBorder="1"/>
    <xf numFmtId="0" fontId="57" fillId="43" borderId="15" xfId="103" applyFont="1" applyFill="1" applyBorder="1" applyAlignment="1">
      <alignment horizontal="center"/>
    </xf>
    <xf numFmtId="0" fontId="27" fillId="0" borderId="0" xfId="0" applyFont="1" applyBorder="1" applyAlignment="1">
      <alignment horizontal="center" vertical="center" wrapText="1"/>
    </xf>
    <xf numFmtId="0" fontId="27" fillId="0" borderId="0" xfId="0" applyFont="1" applyBorder="1" applyAlignment="1">
      <alignment horizontal="center"/>
    </xf>
    <xf numFmtId="1" fontId="62" fillId="0" borderId="0" xfId="0" applyNumberFormat="1" applyFont="1" applyFill="1" applyBorder="1" applyAlignment="1">
      <alignment horizontal="center" vertical="center"/>
    </xf>
    <xf numFmtId="0" fontId="0" fillId="23" borderId="0" xfId="0" applyFill="1"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left" vertical="center"/>
    </xf>
    <xf numFmtId="0" fontId="139" fillId="3" borderId="0" xfId="0" applyFont="1" applyFill="1" applyAlignment="1">
      <alignment horizontal="left" vertical="center"/>
    </xf>
    <xf numFmtId="0" fontId="27" fillId="0" borderId="0" xfId="169" applyFont="1"/>
    <xf numFmtId="9" fontId="57" fillId="0" borderId="25" xfId="103" applyNumberFormat="1" applyFont="1" applyBorder="1"/>
    <xf numFmtId="9" fontId="57" fillId="0" borderId="25" xfId="103" applyNumberFormat="1" applyFont="1" applyFill="1" applyBorder="1" applyAlignment="1">
      <alignment horizontal="left"/>
    </xf>
    <xf numFmtId="9" fontId="57" fillId="23" borderId="25" xfId="103" applyNumberFormat="1" applyFont="1" applyFill="1" applyBorder="1" applyAlignment="1">
      <alignment horizontal="center"/>
    </xf>
    <xf numFmtId="10" fontId="57" fillId="15" borderId="25" xfId="103" applyNumberFormat="1" applyFont="1" applyFill="1" applyBorder="1"/>
    <xf numFmtId="0" fontId="73" fillId="8" borderId="0" xfId="0" applyFont="1" applyFill="1" applyBorder="1" applyAlignment="1" applyProtection="1">
      <alignment vertical="center"/>
    </xf>
    <xf numFmtId="0" fontId="90" fillId="8" borderId="0" xfId="0" applyFont="1" applyFill="1" applyAlignment="1" applyProtection="1">
      <alignment horizontal="left" vertical="center"/>
    </xf>
    <xf numFmtId="0" fontId="53" fillId="0" borderId="0" xfId="0" applyFont="1"/>
    <xf numFmtId="179" fontId="0" fillId="38" borderId="11" xfId="0" applyNumberFormat="1" applyFont="1" applyFill="1" applyBorder="1"/>
    <xf numFmtId="0" fontId="0" fillId="0" borderId="11" xfId="0" applyFont="1" applyBorder="1"/>
    <xf numFmtId="0" fontId="0" fillId="8" borderId="10" xfId="0" applyFont="1" applyFill="1" applyBorder="1"/>
    <xf numFmtId="0" fontId="0" fillId="0" borderId="9" xfId="0" applyFont="1" applyBorder="1"/>
    <xf numFmtId="0" fontId="0" fillId="0" borderId="8" xfId="0" applyFont="1" applyBorder="1"/>
    <xf numFmtId="0" fontId="27" fillId="24" borderId="6" xfId="0" applyFont="1" applyFill="1" applyBorder="1"/>
    <xf numFmtId="0" fontId="0" fillId="0" borderId="6" xfId="0" applyFont="1" applyBorder="1"/>
    <xf numFmtId="0" fontId="0" fillId="8" borderId="5" xfId="0" applyFont="1" applyFill="1" applyBorder="1"/>
    <xf numFmtId="9" fontId="32" fillId="23" borderId="45" xfId="0" applyNumberFormat="1" applyFont="1" applyFill="1" applyBorder="1"/>
    <xf numFmtId="9" fontId="32" fillId="23" borderId="34" xfId="0" applyNumberFormat="1" applyFont="1" applyFill="1" applyBorder="1"/>
    <xf numFmtId="9" fontId="32" fillId="23" borderId="16" xfId="0" applyNumberFormat="1" applyFont="1" applyFill="1" applyBorder="1"/>
    <xf numFmtId="9" fontId="32" fillId="5" borderId="45" xfId="0" applyNumberFormat="1" applyFont="1" applyFill="1" applyBorder="1"/>
    <xf numFmtId="9" fontId="32" fillId="5" borderId="34" xfId="0" applyNumberFormat="1" applyFont="1" applyFill="1" applyBorder="1"/>
    <xf numFmtId="9" fontId="32" fillId="5" borderId="16" xfId="0" applyNumberFormat="1" applyFont="1" applyFill="1" applyBorder="1"/>
    <xf numFmtId="9" fontId="0" fillId="0" borderId="34" xfId="0" applyNumberFormat="1" applyFont="1" applyBorder="1"/>
    <xf numFmtId="0" fontId="0" fillId="0" borderId="34" xfId="0" applyFont="1" applyBorder="1"/>
    <xf numFmtId="0" fontId="32" fillId="23" borderId="16" xfId="0" applyFont="1" applyFill="1" applyBorder="1"/>
    <xf numFmtId="9" fontId="0" fillId="23" borderId="9" xfId="0" applyNumberFormat="1" applyFont="1" applyFill="1" applyBorder="1"/>
    <xf numFmtId="9" fontId="0" fillId="23" borderId="0" xfId="0" applyNumberFormat="1" applyFont="1" applyFill="1" applyBorder="1"/>
    <xf numFmtId="9" fontId="0" fillId="23" borderId="8" xfId="0" applyNumberFormat="1" applyFont="1" applyFill="1" applyBorder="1"/>
    <xf numFmtId="9" fontId="0" fillId="5" borderId="9" xfId="0" applyNumberFormat="1" applyFont="1" applyFill="1" applyBorder="1"/>
    <xf numFmtId="9" fontId="0" fillId="5" borderId="0" xfId="0" applyNumberFormat="1" applyFont="1" applyFill="1" applyBorder="1"/>
    <xf numFmtId="9" fontId="0" fillId="0" borderId="11" xfId="0" applyNumberFormat="1" applyFont="1" applyBorder="1"/>
    <xf numFmtId="9" fontId="0" fillId="0" borderId="0" xfId="0" applyNumberFormat="1" applyFont="1" applyBorder="1"/>
    <xf numFmtId="0" fontId="0" fillId="23" borderId="8" xfId="0" applyFont="1" applyFill="1" applyBorder="1"/>
    <xf numFmtId="9" fontId="0" fillId="23" borderId="7" xfId="0" applyNumberFormat="1" applyFont="1" applyFill="1" applyBorder="1"/>
    <xf numFmtId="9" fontId="0" fillId="23" borderId="6" xfId="0" applyNumberFormat="1" applyFont="1" applyFill="1" applyBorder="1"/>
    <xf numFmtId="9" fontId="0" fillId="23" borderId="5" xfId="0" applyNumberFormat="1" applyFont="1" applyFill="1" applyBorder="1"/>
    <xf numFmtId="9" fontId="0" fillId="5" borderId="7" xfId="0" applyNumberFormat="1" applyFont="1" applyFill="1" applyBorder="1"/>
    <xf numFmtId="9" fontId="0" fillId="5" borderId="6" xfId="0" applyNumberFormat="1" applyFont="1" applyFill="1" applyBorder="1"/>
    <xf numFmtId="9" fontId="0" fillId="0" borderId="6" xfId="0" applyNumberFormat="1" applyFont="1" applyBorder="1"/>
    <xf numFmtId="0" fontId="0" fillId="0" borderId="45" xfId="0" applyFont="1" applyBorder="1"/>
    <xf numFmtId="0" fontId="0" fillId="0" borderId="16" xfId="0" applyFont="1" applyBorder="1"/>
    <xf numFmtId="0" fontId="0" fillId="0" borderId="12" xfId="0" applyFont="1" applyBorder="1"/>
    <xf numFmtId="0" fontId="56" fillId="0" borderId="11" xfId="0" applyFont="1" applyBorder="1"/>
    <xf numFmtId="0" fontId="56" fillId="8" borderId="10" xfId="189" applyFont="1" applyFill="1" applyBorder="1"/>
    <xf numFmtId="9" fontId="0" fillId="23" borderId="45" xfId="0" applyNumberFormat="1" applyFont="1" applyFill="1" applyBorder="1" applyAlignment="1">
      <alignment horizontal="center"/>
    </xf>
    <xf numFmtId="9" fontId="0" fillId="23" borderId="34" xfId="0" applyNumberFormat="1" applyFont="1" applyFill="1" applyBorder="1" applyAlignment="1">
      <alignment horizontal="center"/>
    </xf>
    <xf numFmtId="9" fontId="0" fillId="23" borderId="16" xfId="0" applyNumberFormat="1" applyFont="1" applyFill="1" applyBorder="1" applyAlignment="1">
      <alignment horizontal="center"/>
    </xf>
    <xf numFmtId="0" fontId="0" fillId="23" borderId="16" xfId="189" applyFont="1" applyFill="1" applyBorder="1"/>
    <xf numFmtId="0" fontId="56" fillId="0" borderId="45" xfId="0" applyFont="1" applyBorder="1" applyAlignment="1">
      <alignment horizontal="right"/>
    </xf>
    <xf numFmtId="0" fontId="140" fillId="0" borderId="0" xfId="0" applyFont="1"/>
    <xf numFmtId="0" fontId="27" fillId="4" borderId="0" xfId="0" applyFont="1" applyFill="1" applyAlignment="1">
      <alignment vertical="center"/>
    </xf>
    <xf numFmtId="0" fontId="67" fillId="24" borderId="0" xfId="189" applyFont="1" applyFill="1" applyAlignment="1">
      <alignment horizontal="center"/>
    </xf>
    <xf numFmtId="0" fontId="57" fillId="0" borderId="0" xfId="189" applyFont="1"/>
    <xf numFmtId="0" fontId="62" fillId="0" borderId="0" xfId="189" quotePrefix="1" applyFont="1"/>
    <xf numFmtId="0" fontId="57" fillId="5" borderId="0" xfId="189" applyFont="1" applyFill="1"/>
    <xf numFmtId="0" fontId="58" fillId="0" borderId="0" xfId="189" applyFont="1"/>
    <xf numFmtId="0" fontId="32" fillId="0" borderId="0" xfId="189" applyFont="1"/>
    <xf numFmtId="0" fontId="57" fillId="4" borderId="0" xfId="189" applyFont="1" applyFill="1"/>
    <xf numFmtId="0" fontId="67" fillId="4" borderId="0" xfId="189" applyFont="1" applyFill="1"/>
    <xf numFmtId="0" fontId="140" fillId="0" borderId="0" xfId="189" applyFont="1"/>
    <xf numFmtId="0" fontId="56" fillId="0" borderId="0" xfId="189" applyFont="1" applyAlignment="1">
      <alignment horizontal="center" vertical="center"/>
    </xf>
    <xf numFmtId="0" fontId="141" fillId="0" borderId="0" xfId="189" applyFont="1"/>
    <xf numFmtId="0" fontId="64" fillId="3" borderId="0" xfId="189" applyFont="1" applyFill="1"/>
    <xf numFmtId="0" fontId="84" fillId="3" borderId="0" xfId="189" applyFont="1" applyFill="1" applyAlignment="1">
      <alignment vertical="center"/>
    </xf>
    <xf numFmtId="0" fontId="67" fillId="24" borderId="0" xfId="189" applyFont="1" applyFill="1" applyAlignment="1">
      <alignment horizontal="center" vertical="center"/>
    </xf>
    <xf numFmtId="0" fontId="67" fillId="3" borderId="0" xfId="189" applyFont="1" applyFill="1" applyAlignment="1">
      <alignment horizontal="right" vertical="center"/>
    </xf>
    <xf numFmtId="0" fontId="142" fillId="3" borderId="0" xfId="189" applyFont="1" applyFill="1" applyAlignment="1">
      <alignment vertical="center"/>
    </xf>
    <xf numFmtId="0" fontId="27" fillId="24" borderId="7" xfId="0" applyFont="1" applyFill="1" applyBorder="1"/>
    <xf numFmtId="179" fontId="0" fillId="38" borderId="12" xfId="0" applyNumberFormat="1" applyFont="1" applyFill="1" applyBorder="1"/>
    <xf numFmtId="0" fontId="117" fillId="31" borderId="0" xfId="0" applyFont="1" applyFill="1" applyAlignment="1">
      <alignment horizontal="left" vertical="center"/>
    </xf>
    <xf numFmtId="0" fontId="117" fillId="31" borderId="0" xfId="0" applyFont="1" applyFill="1" applyAlignment="1">
      <alignment horizontal="center" vertical="center"/>
    </xf>
    <xf numFmtId="0" fontId="117" fillId="31" borderId="0" xfId="0" applyFont="1" applyFill="1" applyAlignment="1">
      <alignment horizontal="center" vertical="center" wrapText="1"/>
    </xf>
    <xf numFmtId="0" fontId="143" fillId="31" borderId="0" xfId="0" applyFont="1" applyFill="1" applyAlignment="1">
      <alignment horizontal="left" vertical="center"/>
    </xf>
    <xf numFmtId="0" fontId="72" fillId="0" borderId="0" xfId="169" applyFont="1"/>
    <xf numFmtId="0" fontId="72" fillId="0" borderId="0" xfId="166" applyFont="1"/>
    <xf numFmtId="0" fontId="144" fillId="0" borderId="0" xfId="166" applyFont="1"/>
    <xf numFmtId="0" fontId="144" fillId="0" borderId="0" xfId="166" quotePrefix="1" applyFont="1"/>
    <xf numFmtId="179" fontId="72" fillId="0" borderId="0" xfId="167" applyNumberFormat="1" applyFont="1"/>
    <xf numFmtId="0" fontId="119" fillId="3" borderId="0" xfId="176" applyFont="1" applyFill="1"/>
    <xf numFmtId="0" fontId="73" fillId="3" borderId="0" xfId="176" applyFont="1" applyFill="1"/>
    <xf numFmtId="0" fontId="73" fillId="3" borderId="0" xfId="176" applyFont="1" applyFill="1" applyAlignment="1">
      <alignment horizontal="left"/>
    </xf>
    <xf numFmtId="0" fontId="73" fillId="0" borderId="0" xfId="176" applyFont="1" applyFill="1" applyBorder="1" applyAlignment="1">
      <alignment horizontal="left"/>
    </xf>
    <xf numFmtId="0" fontId="145" fillId="0" borderId="0" xfId="163" applyFont="1" applyAlignment="1">
      <alignment horizontal="left" vertical="center"/>
    </xf>
    <xf numFmtId="0" fontId="145" fillId="0" borderId="0" xfId="163" applyFont="1" applyAlignment="1">
      <alignment horizontal="center" vertical="center"/>
    </xf>
    <xf numFmtId="0" fontId="73" fillId="29" borderId="0" xfId="176" applyFont="1" applyFill="1" applyAlignment="1">
      <alignment horizontal="left"/>
    </xf>
    <xf numFmtId="0" fontId="73" fillId="29" borderId="0" xfId="176" applyFont="1" applyFill="1"/>
    <xf numFmtId="0" fontId="73" fillId="29" borderId="0" xfId="176" applyFont="1" applyFill="1" applyAlignment="1">
      <alignment horizontal="center"/>
    </xf>
    <xf numFmtId="0" fontId="73" fillId="0" borderId="0" xfId="176" quotePrefix="1" applyFont="1"/>
    <xf numFmtId="0" fontId="73" fillId="26" borderId="0" xfId="176" applyFont="1" applyFill="1"/>
    <xf numFmtId="0" fontId="73" fillId="24" borderId="0" xfId="176" applyFont="1" applyFill="1"/>
    <xf numFmtId="0" fontId="116" fillId="29" borderId="0" xfId="176" applyFont="1" applyFill="1" applyAlignment="1">
      <alignment vertical="center"/>
    </xf>
    <xf numFmtId="0" fontId="119" fillId="0" borderId="0" xfId="176" applyFont="1" applyAlignment="1">
      <alignment horizontal="left" indent="2"/>
    </xf>
    <xf numFmtId="0" fontId="146" fillId="0" borderId="0" xfId="176" applyFont="1"/>
    <xf numFmtId="9" fontId="117" fillId="27" borderId="0" xfId="176" applyNumberFormat="1" applyFont="1" applyFill="1" applyAlignment="1">
      <alignment horizontal="center"/>
    </xf>
    <xf numFmtId="9" fontId="117" fillId="27" borderId="0" xfId="176" quotePrefix="1" applyNumberFormat="1" applyFont="1" applyFill="1" applyAlignment="1">
      <alignment horizontal="center"/>
    </xf>
    <xf numFmtId="0" fontId="73" fillId="0" borderId="0" xfId="176" applyFont="1" applyAlignment="1">
      <alignment horizontal="left" indent="2"/>
    </xf>
    <xf numFmtId="180" fontId="119" fillId="34" borderId="0" xfId="176" applyNumberFormat="1" applyFont="1" applyFill="1" applyAlignment="1">
      <alignment horizontal="center"/>
    </xf>
    <xf numFmtId="6" fontId="73" fillId="34" borderId="0" xfId="176" applyNumberFormat="1" applyFont="1" applyFill="1" applyAlignment="1">
      <alignment horizontal="center"/>
    </xf>
    <xf numFmtId="6" fontId="73" fillId="0" borderId="0" xfId="176" applyNumberFormat="1" applyFont="1" applyAlignment="1">
      <alignment horizontal="center"/>
    </xf>
    <xf numFmtId="9" fontId="73" fillId="34" borderId="0" xfId="176" applyNumberFormat="1" applyFont="1" applyFill="1" applyAlignment="1">
      <alignment horizontal="center"/>
    </xf>
    <xf numFmtId="8" fontId="73" fillId="0" borderId="0" xfId="176" applyNumberFormat="1" applyFont="1" applyAlignment="1">
      <alignment horizontal="center"/>
    </xf>
    <xf numFmtId="0" fontId="73" fillId="0" borderId="0" xfId="176" applyFont="1" applyAlignment="1">
      <alignment horizontal="left" indent="1"/>
    </xf>
    <xf numFmtId="0" fontId="119" fillId="0" borderId="0" xfId="176" applyFont="1" applyAlignment="1">
      <alignment horizontal="left" indent="1"/>
    </xf>
    <xf numFmtId="6" fontId="119" fillId="34" borderId="0" xfId="176" applyNumberFormat="1" applyFont="1" applyFill="1" applyAlignment="1">
      <alignment horizontal="center"/>
    </xf>
    <xf numFmtId="6" fontId="119" fillId="0" borderId="0" xfId="176" applyNumberFormat="1" applyFont="1" applyAlignment="1">
      <alignment horizontal="center"/>
    </xf>
    <xf numFmtId="0" fontId="147" fillId="0" borderId="0" xfId="0" applyFont="1" applyAlignment="1">
      <alignment vertical="center"/>
    </xf>
    <xf numFmtId="0" fontId="147" fillId="0" borderId="0" xfId="0" applyFont="1" applyAlignment="1">
      <alignment horizontal="center" vertical="center"/>
    </xf>
    <xf numFmtId="0" fontId="73" fillId="0" borderId="0" xfId="0" applyFont="1" applyAlignment="1">
      <alignment vertical="center"/>
    </xf>
    <xf numFmtId="0" fontId="119" fillId="0" borderId="0" xfId="0" applyFont="1" applyAlignment="1">
      <alignment horizontal="left" vertical="center"/>
    </xf>
    <xf numFmtId="0" fontId="119" fillId="0" borderId="0" xfId="0" applyFont="1" applyAlignment="1">
      <alignment horizontal="right" vertical="center"/>
    </xf>
    <xf numFmtId="6" fontId="121" fillId="5" borderId="0" xfId="0" applyNumberFormat="1" applyFont="1" applyFill="1"/>
    <xf numFmtId="0" fontId="121" fillId="5" borderId="0" xfId="0" applyNumberFormat="1" applyFont="1" applyFill="1"/>
    <xf numFmtId="1" fontId="121" fillId="5" borderId="0" xfId="0" applyNumberFormat="1" applyFont="1" applyFill="1"/>
    <xf numFmtId="0" fontId="117" fillId="31" borderId="0" xfId="0" applyFont="1" applyFill="1" applyAlignment="1">
      <alignment vertical="center"/>
    </xf>
    <xf numFmtId="0" fontId="117" fillId="31" borderId="0" xfId="0" applyFont="1" applyFill="1" applyAlignment="1">
      <alignment vertical="center" wrapText="1"/>
    </xf>
    <xf numFmtId="0" fontId="143" fillId="31" borderId="0" xfId="0" applyFont="1" applyFill="1" applyAlignment="1">
      <alignment vertical="center"/>
    </xf>
    <xf numFmtId="0" fontId="10" fillId="0" borderId="0" xfId="176" applyFont="1"/>
    <xf numFmtId="0" fontId="9" fillId="0" borderId="0" xfId="176" applyFont="1"/>
    <xf numFmtId="0" fontId="22" fillId="32" borderId="0" xfId="176" applyNumberFormat="1" applyFont="1" applyFill="1" applyBorder="1" applyAlignment="1">
      <alignment horizontal="center"/>
    </xf>
    <xf numFmtId="180" fontId="0" fillId="0" borderId="0" xfId="0" applyNumberFormat="1"/>
    <xf numFmtId="0" fontId="79" fillId="8" borderId="20" xfId="0" applyFont="1" applyFill="1" applyBorder="1" applyAlignment="1" applyProtection="1">
      <alignment horizontal="left" vertical="center"/>
    </xf>
    <xf numFmtId="0" fontId="77" fillId="8" borderId="46" xfId="0" applyFont="1" applyFill="1" applyBorder="1" applyAlignment="1" applyProtection="1">
      <alignment horizontal="center" vertical="center"/>
    </xf>
    <xf numFmtId="0" fontId="79" fillId="8" borderId="46" xfId="0" applyFont="1" applyFill="1" applyBorder="1" applyAlignment="1" applyProtection="1">
      <alignment horizontal="left" vertical="center"/>
    </xf>
    <xf numFmtId="9" fontId="0" fillId="23" borderId="19" xfId="0" applyNumberFormat="1" applyFill="1" applyBorder="1" applyAlignment="1">
      <alignment horizontal="center"/>
    </xf>
    <xf numFmtId="179" fontId="27" fillId="2" borderId="0" xfId="0" applyNumberFormat="1" applyFont="1" applyFill="1" applyAlignment="1">
      <alignment horizontal="center"/>
    </xf>
    <xf numFmtId="3" fontId="27" fillId="2" borderId="0" xfId="0" applyNumberFormat="1" applyFont="1" applyFill="1" applyAlignment="1">
      <alignment horizontal="center"/>
    </xf>
    <xf numFmtId="8" fontId="27" fillId="2" borderId="0" xfId="166" applyNumberFormat="1" applyFont="1" applyFill="1" applyBorder="1" applyAlignment="1">
      <alignment horizontal="center"/>
    </xf>
    <xf numFmtId="180" fontId="27" fillId="2" borderId="0" xfId="166" applyNumberFormat="1" applyFont="1" applyFill="1" applyBorder="1" applyAlignment="1">
      <alignment horizontal="center"/>
    </xf>
    <xf numFmtId="180" fontId="62" fillId="5" borderId="0" xfId="166" applyNumberFormat="1" applyFont="1" applyFill="1" applyBorder="1" applyAlignment="1">
      <alignment horizontal="center"/>
    </xf>
    <xf numFmtId="0" fontId="29" fillId="31" borderId="0" xfId="0" applyFont="1" applyFill="1" applyBorder="1" applyAlignment="1">
      <alignment horizontal="center" vertical="center"/>
    </xf>
    <xf numFmtId="0" fontId="27" fillId="29" borderId="0" xfId="0" applyFont="1" applyFill="1" applyBorder="1"/>
    <xf numFmtId="3" fontId="62" fillId="5" borderId="0" xfId="0" applyNumberFormat="1" applyFont="1" applyFill="1" applyBorder="1" applyAlignment="1">
      <alignment horizontal="center"/>
    </xf>
    <xf numFmtId="9" fontId="62" fillId="5" borderId="0" xfId="0" applyNumberFormat="1" applyFont="1" applyFill="1" applyBorder="1" applyAlignment="1">
      <alignment horizontal="center"/>
    </xf>
    <xf numFmtId="0" fontId="27" fillId="0" borderId="0" xfId="0" applyFont="1" applyBorder="1"/>
    <xf numFmtId="185" fontId="62" fillId="5" borderId="0" xfId="0" applyNumberFormat="1" applyFont="1" applyFill="1" applyBorder="1" applyAlignment="1">
      <alignment horizontal="center"/>
    </xf>
    <xf numFmtId="185" fontId="29" fillId="31" borderId="0" xfId="0" applyNumberFormat="1" applyFont="1" applyFill="1" applyBorder="1" applyAlignment="1">
      <alignment horizontal="center" vertical="center"/>
    </xf>
    <xf numFmtId="185" fontId="27" fillId="29" borderId="0" xfId="0" applyNumberFormat="1" applyFont="1" applyFill="1" applyBorder="1"/>
    <xf numFmtId="185" fontId="0" fillId="0" borderId="0" xfId="0" applyNumberFormat="1" applyBorder="1" applyAlignment="1">
      <alignment horizontal="center"/>
    </xf>
    <xf numFmtId="185" fontId="0" fillId="0" borderId="0" xfId="0" applyNumberFormat="1" applyFont="1" applyBorder="1" applyAlignment="1">
      <alignment horizontal="center" vertical="center" wrapText="1"/>
    </xf>
    <xf numFmtId="185" fontId="0" fillId="0" borderId="0" xfId="0" applyNumberFormat="1" applyBorder="1"/>
    <xf numFmtId="9" fontId="27" fillId="2" borderId="0" xfId="166" applyNumberFormat="1" applyFont="1" applyFill="1" applyBorder="1" applyAlignment="1">
      <alignment horizontal="center"/>
    </xf>
    <xf numFmtId="9" fontId="32" fillId="34" borderId="0" xfId="0" applyNumberFormat="1" applyFont="1" applyFill="1" applyAlignment="1">
      <alignment horizontal="center"/>
    </xf>
    <xf numFmtId="179" fontId="0" fillId="5" borderId="0" xfId="0" applyNumberFormat="1" applyFont="1" applyFill="1" applyBorder="1" applyAlignment="1">
      <alignment horizontal="center"/>
    </xf>
    <xf numFmtId="3" fontId="62" fillId="5" borderId="0" xfId="0" applyNumberFormat="1" applyFont="1" applyFill="1" applyAlignment="1">
      <alignment horizontal="center" vertical="center"/>
    </xf>
    <xf numFmtId="6" fontId="62" fillId="5" borderId="0" xfId="0" applyNumberFormat="1" applyFont="1" applyFill="1" applyAlignment="1">
      <alignment horizontal="center" vertical="center"/>
    </xf>
    <xf numFmtId="3" fontId="83" fillId="5" borderId="0" xfId="0" applyNumberFormat="1" applyFont="1" applyFill="1" applyAlignment="1">
      <alignment horizontal="center" vertical="center"/>
    </xf>
    <xf numFmtId="9" fontId="56" fillId="5" borderId="0" xfId="0" applyNumberFormat="1" applyFont="1" applyFill="1" applyAlignment="1">
      <alignment horizontal="center" vertical="center"/>
    </xf>
    <xf numFmtId="8" fontId="62" fillId="23" borderId="0" xfId="0" applyNumberFormat="1" applyFont="1" applyFill="1" applyAlignment="1">
      <alignment horizontal="center" vertical="center"/>
    </xf>
    <xf numFmtId="0" fontId="79" fillId="8" borderId="30" xfId="0" applyFont="1" applyFill="1" applyBorder="1" applyAlignment="1" applyProtection="1">
      <alignment vertical="center"/>
    </xf>
    <xf numFmtId="0" fontId="80" fillId="8" borderId="30" xfId="0" applyFont="1" applyFill="1" applyBorder="1" applyAlignment="1" applyProtection="1">
      <alignment vertical="center"/>
    </xf>
    <xf numFmtId="0" fontId="77" fillId="8" borderId="30" xfId="0" applyFont="1" applyFill="1" applyBorder="1" applyAlignment="1" applyProtection="1">
      <alignment horizontal="center" vertical="center"/>
    </xf>
    <xf numFmtId="0" fontId="80" fillId="8" borderId="0" xfId="0" applyFont="1" applyFill="1" applyBorder="1" applyAlignment="1" applyProtection="1">
      <alignment vertical="center"/>
    </xf>
    <xf numFmtId="0" fontId="79" fillId="8" borderId="0" xfId="0" applyFont="1" applyFill="1" applyBorder="1" applyAlignment="1" applyProtection="1">
      <alignment horizontal="center"/>
    </xf>
    <xf numFmtId="1" fontId="0" fillId="0" borderId="0" xfId="0" applyNumberFormat="1" applyAlignment="1">
      <alignment horizontal="center" vertical="center"/>
    </xf>
    <xf numFmtId="0" fontId="76" fillId="8" borderId="47" xfId="0" applyFont="1" applyFill="1" applyBorder="1" applyAlignment="1" applyProtection="1">
      <alignment vertical="center"/>
    </xf>
    <xf numFmtId="0" fontId="76" fillId="8" borderId="48" xfId="0" applyFont="1" applyFill="1" applyBorder="1" applyAlignment="1" applyProtection="1">
      <alignment vertical="center"/>
    </xf>
    <xf numFmtId="0" fontId="75" fillId="8" borderId="48" xfId="0" applyFont="1" applyFill="1" applyBorder="1" applyAlignment="1" applyProtection="1">
      <alignment vertical="center"/>
    </xf>
    <xf numFmtId="0" fontId="87" fillId="8" borderId="48" xfId="0" applyFont="1" applyFill="1" applyBorder="1" applyAlignment="1" applyProtection="1">
      <alignment horizontal="center" vertical="center"/>
    </xf>
    <xf numFmtId="0" fontId="76" fillId="8" borderId="49" xfId="0" applyFont="1" applyFill="1" applyBorder="1" applyAlignment="1" applyProtection="1">
      <alignment vertical="center"/>
    </xf>
    <xf numFmtId="0" fontId="103" fillId="8" borderId="48" xfId="0" applyFont="1" applyFill="1" applyBorder="1" applyAlignment="1" applyProtection="1">
      <alignment horizontal="center" vertical="center"/>
    </xf>
    <xf numFmtId="0" fontId="73" fillId="8" borderId="48" xfId="0" applyFont="1" applyFill="1" applyBorder="1" applyAlignment="1" applyProtection="1">
      <alignment vertical="center"/>
    </xf>
    <xf numFmtId="0" fontId="76" fillId="8" borderId="50" xfId="0" applyFont="1" applyFill="1" applyBorder="1" applyAlignment="1" applyProtection="1">
      <alignment vertical="center"/>
    </xf>
    <xf numFmtId="0" fontId="90" fillId="8" borderId="50" xfId="0" applyFont="1" applyFill="1" applyBorder="1" applyAlignment="1" applyProtection="1">
      <alignment vertical="center"/>
    </xf>
    <xf numFmtId="0" fontId="87" fillId="8" borderId="50" xfId="0" applyFont="1" applyFill="1" applyBorder="1" applyAlignment="1" applyProtection="1">
      <alignment horizontal="center" vertical="center"/>
    </xf>
    <xf numFmtId="0" fontId="75" fillId="8" borderId="47" xfId="0" applyFont="1" applyFill="1" applyBorder="1" applyAlignment="1" applyProtection="1">
      <alignment vertical="center"/>
    </xf>
    <xf numFmtId="2" fontId="81" fillId="8" borderId="47" xfId="0" applyNumberFormat="1" applyFont="1" applyFill="1" applyBorder="1" applyAlignment="1" applyProtection="1">
      <alignment horizontal="center" vertical="center"/>
    </xf>
    <xf numFmtId="0" fontId="0" fillId="8" borderId="48" xfId="0" applyFont="1" applyFill="1" applyBorder="1"/>
    <xf numFmtId="0" fontId="76" fillId="8" borderId="51" xfId="0" applyFont="1" applyFill="1" applyBorder="1" applyAlignment="1" applyProtection="1">
      <alignment vertical="center"/>
    </xf>
    <xf numFmtId="185" fontId="32" fillId="34" borderId="0" xfId="0" applyNumberFormat="1" applyFont="1" applyFill="1" applyAlignment="1">
      <alignment horizontal="center"/>
    </xf>
    <xf numFmtId="9" fontId="27" fillId="24" borderId="28" xfId="103" applyNumberFormat="1" applyFont="1" applyFill="1" applyBorder="1" applyAlignment="1">
      <alignment horizontal="center"/>
    </xf>
    <xf numFmtId="9" fontId="27" fillId="24" borderId="20" xfId="103" applyNumberFormat="1" applyFont="1" applyFill="1" applyBorder="1" applyAlignment="1">
      <alignment horizontal="center"/>
    </xf>
    <xf numFmtId="0" fontId="90" fillId="8" borderId="0" xfId="0" applyFont="1" applyFill="1" applyBorder="1" applyAlignment="1" applyProtection="1">
      <alignment vertical="center"/>
    </xf>
    <xf numFmtId="0" fontId="7" fillId="0" borderId="0" xfId="191"/>
    <xf numFmtId="0" fontId="57" fillId="0" borderId="0" xfId="191" applyFont="1" applyAlignment="1">
      <alignment horizontal="center" vertical="center"/>
    </xf>
    <xf numFmtId="0" fontId="57" fillId="5" borderId="0" xfId="191" applyFont="1" applyFill="1" applyAlignment="1">
      <alignment horizontal="center"/>
    </xf>
    <xf numFmtId="0" fontId="110" fillId="0" borderId="0" xfId="191" applyFont="1"/>
    <xf numFmtId="0" fontId="27" fillId="4" borderId="0" xfId="191" applyFont="1" applyFill="1"/>
    <xf numFmtId="0" fontId="27" fillId="4" borderId="0" xfId="191" applyFont="1" applyFill="1" applyAlignment="1">
      <alignment vertical="center"/>
    </xf>
    <xf numFmtId="0" fontId="67" fillId="4" borderId="0" xfId="191" applyFont="1" applyFill="1" applyAlignment="1">
      <alignment vertical="center"/>
    </xf>
    <xf numFmtId="0" fontId="62" fillId="0" borderId="0" xfId="191" applyFont="1"/>
    <xf numFmtId="1" fontId="58" fillId="0" borderId="0" xfId="191" applyNumberFormat="1" applyFont="1" applyFill="1"/>
    <xf numFmtId="0" fontId="58" fillId="0" borderId="0" xfId="191" applyFont="1" applyFill="1" applyAlignment="1">
      <alignment horizontal="right"/>
    </xf>
    <xf numFmtId="0" fontId="62" fillId="0" borderId="0" xfId="191" applyFont="1" applyFill="1"/>
    <xf numFmtId="0" fontId="7" fillId="0" borderId="19" xfId="191" applyBorder="1"/>
    <xf numFmtId="0" fontId="57" fillId="23" borderId="19" xfId="191" applyFont="1" applyFill="1" applyBorder="1" applyAlignment="1">
      <alignment vertical="center" wrapText="1"/>
    </xf>
    <xf numFmtId="0" fontId="62" fillId="5" borderId="19" xfId="191" quotePrefix="1" applyFont="1" applyFill="1" applyBorder="1" applyAlignment="1">
      <alignment horizontal="center" vertical="center"/>
    </xf>
    <xf numFmtId="0" fontId="32" fillId="0" borderId="0" xfId="191" applyFont="1" applyFill="1" applyAlignment="1">
      <alignment horizontal="center" vertical="center" wrapText="1"/>
    </xf>
    <xf numFmtId="0" fontId="58" fillId="0" borderId="0" xfId="191" quotePrefix="1" applyFont="1" applyAlignment="1">
      <alignment horizontal="center"/>
    </xf>
    <xf numFmtId="0" fontId="58" fillId="0" borderId="0" xfId="191" quotePrefix="1" applyFont="1"/>
    <xf numFmtId="0" fontId="57" fillId="0" borderId="0" xfId="191" applyFont="1" applyAlignment="1">
      <alignment horizontal="left" vertical="center"/>
    </xf>
    <xf numFmtId="0" fontId="27" fillId="4" borderId="0" xfId="191" applyFont="1" applyFill="1" applyAlignment="1">
      <alignment horizontal="center"/>
    </xf>
    <xf numFmtId="0" fontId="27" fillId="4" borderId="0" xfId="191" applyFont="1" applyFill="1" applyAlignment="1">
      <alignment horizontal="left"/>
    </xf>
    <xf numFmtId="0" fontId="57" fillId="0" borderId="0" xfId="191" applyFont="1"/>
    <xf numFmtId="0" fontId="57" fillId="44" borderId="19" xfId="191" applyFont="1" applyFill="1" applyBorder="1"/>
    <xf numFmtId="0" fontId="62" fillId="0" borderId="0" xfId="191" quotePrefix="1" applyFont="1"/>
    <xf numFmtId="0" fontId="27" fillId="24" borderId="0" xfId="191" applyFont="1" applyFill="1"/>
    <xf numFmtId="0" fontId="27" fillId="26" borderId="0" xfId="191" applyFont="1" applyFill="1"/>
    <xf numFmtId="0" fontId="57" fillId="5" borderId="0" xfId="191" applyFont="1" applyFill="1"/>
    <xf numFmtId="0" fontId="57" fillId="23" borderId="0" xfId="191" applyFont="1" applyFill="1"/>
    <xf numFmtId="0" fontId="58" fillId="0" borderId="0" xfId="191" applyFont="1"/>
    <xf numFmtId="0" fontId="32" fillId="0" borderId="0" xfId="191" applyFont="1"/>
    <xf numFmtId="0" fontId="57" fillId="0" borderId="0" xfId="192" applyFont="1"/>
    <xf numFmtId="0" fontId="57" fillId="0" borderId="0" xfId="192" applyFont="1" applyFill="1" applyBorder="1"/>
    <xf numFmtId="0" fontId="27" fillId="3" borderId="0" xfId="191" applyFont="1" applyFill="1"/>
    <xf numFmtId="0" fontId="67" fillId="3" borderId="0" xfId="191" applyFont="1" applyFill="1"/>
    <xf numFmtId="0" fontId="0" fillId="23" borderId="19" xfId="191" applyFont="1" applyFill="1" applyBorder="1" applyAlignment="1">
      <alignment horizontal="center" vertical="center" wrapText="1"/>
    </xf>
    <xf numFmtId="0" fontId="0" fillId="23" borderId="19" xfId="191" applyFont="1" applyFill="1" applyBorder="1" applyAlignment="1">
      <alignment vertical="center" wrapText="1"/>
    </xf>
    <xf numFmtId="185" fontId="27" fillId="6" borderId="0" xfId="167" applyNumberFormat="1" applyFont="1" applyFill="1" applyBorder="1"/>
    <xf numFmtId="185" fontId="57" fillId="23" borderId="0" xfId="167" applyNumberFormat="1" applyFont="1" applyFill="1" applyAlignment="1"/>
    <xf numFmtId="185" fontId="57" fillId="0" borderId="0" xfId="166" applyNumberFormat="1" applyFont="1"/>
    <xf numFmtId="185" fontId="27" fillId="0" borderId="0" xfId="166" applyNumberFormat="1" applyFont="1"/>
    <xf numFmtId="185" fontId="27" fillId="0" borderId="0" xfId="169" applyNumberFormat="1" applyFont="1"/>
    <xf numFmtId="185" fontId="57" fillId="0" borderId="0" xfId="169" applyNumberFormat="1" applyFont="1"/>
    <xf numFmtId="185" fontId="27" fillId="29" borderId="0" xfId="169" applyNumberFormat="1" applyFont="1" applyFill="1"/>
    <xf numFmtId="185" fontId="57" fillId="29" borderId="0" xfId="169" applyNumberFormat="1" applyFont="1" applyFill="1"/>
    <xf numFmtId="185" fontId="56" fillId="0" borderId="0" xfId="166" quotePrefix="1" applyNumberFormat="1" applyFont="1"/>
    <xf numFmtId="185" fontId="57" fillId="0" borderId="0" xfId="167" applyNumberFormat="1" applyFont="1"/>
    <xf numFmtId="185" fontId="0" fillId="0" borderId="0" xfId="166" applyNumberFormat="1" applyFont="1"/>
    <xf numFmtId="180" fontId="0" fillId="0" borderId="0" xfId="140" applyNumberFormat="1" applyFont="1" applyAlignment="1">
      <alignment horizontal="center"/>
    </xf>
    <xf numFmtId="0" fontId="0" fillId="8" borderId="0" xfId="0" applyFill="1" applyAlignment="1">
      <alignment horizontal="center"/>
    </xf>
    <xf numFmtId="0" fontId="27" fillId="8" borderId="0" xfId="0" applyFont="1" applyFill="1" applyBorder="1" applyAlignment="1">
      <alignment horizontal="center"/>
    </xf>
    <xf numFmtId="185" fontId="0" fillId="8" borderId="0" xfId="0" applyNumberFormat="1" applyFill="1" applyBorder="1" applyAlignment="1">
      <alignment horizontal="center"/>
    </xf>
    <xf numFmtId="0" fontId="0" fillId="8" borderId="0" xfId="0" applyFill="1" applyAlignment="1">
      <alignment horizontal="left"/>
    </xf>
    <xf numFmtId="0" fontId="32" fillId="8" borderId="0" xfId="0" applyFont="1" applyFill="1" applyAlignment="1">
      <alignment horizontal="left"/>
    </xf>
    <xf numFmtId="0" fontId="0" fillId="8" borderId="0" xfId="0" applyFill="1" applyAlignment="1">
      <alignment horizontal="left" indent="1"/>
    </xf>
    <xf numFmtId="9" fontId="0" fillId="15" borderId="0" xfId="0" applyNumberFormat="1" applyFill="1" applyAlignment="1">
      <alignment horizontal="center"/>
    </xf>
    <xf numFmtId="0" fontId="0" fillId="8" borderId="0" xfId="0" applyFill="1" applyBorder="1" applyAlignment="1">
      <alignment horizontal="center"/>
    </xf>
    <xf numFmtId="179" fontId="0" fillId="5" borderId="0" xfId="0" applyNumberFormat="1" applyFill="1" applyAlignment="1">
      <alignment horizontal="center"/>
    </xf>
    <xf numFmtId="180" fontId="0" fillId="34" borderId="0" xfId="0" applyNumberFormat="1" applyFont="1" applyFill="1" applyAlignment="1">
      <alignment horizontal="center"/>
    </xf>
    <xf numFmtId="0" fontId="0" fillId="15" borderId="0" xfId="0" applyNumberFormat="1" applyFill="1" applyAlignment="1">
      <alignment horizontal="center"/>
    </xf>
    <xf numFmtId="180" fontId="0" fillId="5" borderId="0" xfId="0" applyNumberFormat="1" applyFill="1" applyAlignment="1">
      <alignment horizontal="center"/>
    </xf>
    <xf numFmtId="179" fontId="0" fillId="34" borderId="0" xfId="0" applyNumberFormat="1" applyFont="1" applyFill="1" applyAlignment="1">
      <alignment horizontal="center"/>
    </xf>
    <xf numFmtId="179" fontId="0" fillId="15" borderId="0" xfId="0" applyNumberFormat="1" applyFill="1" applyAlignment="1">
      <alignment horizontal="center"/>
    </xf>
    <xf numFmtId="0" fontId="0" fillId="34" borderId="0" xfId="0" applyNumberFormat="1" applyFont="1" applyFill="1" applyAlignment="1">
      <alignment horizontal="center"/>
    </xf>
    <xf numFmtId="0" fontId="0" fillId="5" borderId="0" xfId="0" applyNumberFormat="1" applyFill="1" applyAlignment="1">
      <alignment horizontal="center"/>
    </xf>
    <xf numFmtId="0" fontId="56" fillId="28" borderId="0" xfId="0" applyFont="1" applyFill="1"/>
    <xf numFmtId="0" fontId="56" fillId="3" borderId="0" xfId="0" applyFont="1" applyFill="1"/>
    <xf numFmtId="0" fontId="56" fillId="2" borderId="0" xfId="0" applyFont="1" applyFill="1"/>
    <xf numFmtId="0" fontId="62" fillId="0" borderId="0" xfId="0" applyNumberFormat="1" applyFont="1" applyFill="1" applyBorder="1" applyAlignment="1">
      <alignment horizontal="center" vertical="center"/>
    </xf>
    <xf numFmtId="0" fontId="32" fillId="0" borderId="6" xfId="0" applyFont="1" applyBorder="1" applyAlignment="1" applyProtection="1">
      <alignment horizontal="center"/>
      <protection locked="0"/>
    </xf>
    <xf numFmtId="0" fontId="0" fillId="0" borderId="0" xfId="0" applyFont="1" applyFill="1" applyBorder="1" applyAlignment="1" applyProtection="1">
      <alignment horizontal="center" vertical="center" wrapText="1"/>
      <protection locked="0"/>
    </xf>
    <xf numFmtId="0" fontId="0" fillId="23" borderId="0" xfId="0" applyFont="1" applyFill="1" applyBorder="1" applyAlignment="1" applyProtection="1">
      <alignment vertical="top" wrapText="1"/>
      <protection locked="0"/>
    </xf>
    <xf numFmtId="0" fontId="0" fillId="23" borderId="0" xfId="0" applyFont="1" applyFill="1" applyBorder="1" applyAlignment="1" applyProtection="1">
      <alignment horizontal="center" vertical="top"/>
      <protection locked="0"/>
    </xf>
    <xf numFmtId="0" fontId="62" fillId="23" borderId="0" xfId="0" applyFont="1" applyFill="1" applyBorder="1" applyAlignment="1" applyProtection="1">
      <alignment vertical="top" wrapText="1"/>
      <protection locked="0"/>
    </xf>
    <xf numFmtId="0" fontId="27" fillId="26" borderId="0" xfId="0" applyFont="1" applyFill="1" applyBorder="1" applyAlignment="1" applyProtection="1">
      <alignment vertical="top" wrapText="1"/>
      <protection locked="0"/>
    </xf>
    <xf numFmtId="0" fontId="64" fillId="23" borderId="0" xfId="0" applyFont="1" applyFill="1" applyBorder="1"/>
    <xf numFmtId="187" fontId="0" fillId="23" borderId="0" xfId="0" applyNumberFormat="1" applyFont="1" applyFill="1" applyBorder="1" applyAlignment="1" applyProtection="1">
      <alignment vertical="top" wrapText="1"/>
      <protection locked="0"/>
    </xf>
    <xf numFmtId="0" fontId="64" fillId="0" borderId="6" xfId="0" applyFont="1" applyBorder="1"/>
    <xf numFmtId="0" fontId="64" fillId="0" borderId="7" xfId="0" applyFont="1" applyBorder="1"/>
    <xf numFmtId="0" fontId="0" fillId="0" borderId="8" xfId="0" applyFont="1" applyFill="1" applyBorder="1" applyAlignment="1" applyProtection="1">
      <alignment horizontal="center" vertical="center"/>
      <protection locked="0"/>
    </xf>
    <xf numFmtId="0" fontId="0" fillId="0" borderId="9" xfId="0" applyFont="1" applyFill="1" applyBorder="1" applyAlignment="1" applyProtection="1">
      <alignment horizontal="center" vertical="center" wrapText="1"/>
      <protection locked="0"/>
    </xf>
    <xf numFmtId="0" fontId="0" fillId="8" borderId="8" xfId="0" applyFont="1" applyFill="1" applyBorder="1" applyAlignment="1" applyProtection="1">
      <alignment horizontal="center" vertical="top"/>
      <protection locked="0"/>
    </xf>
    <xf numFmtId="0" fontId="64" fillId="23" borderId="9" xfId="0" applyFont="1" applyFill="1" applyBorder="1"/>
    <xf numFmtId="0" fontId="0" fillId="23" borderId="11" xfId="0" applyFont="1" applyFill="1" applyBorder="1" applyAlignment="1" applyProtection="1">
      <alignment vertical="top" wrapText="1"/>
      <protection locked="0"/>
    </xf>
    <xf numFmtId="0" fontId="64" fillId="23" borderId="11" xfId="0" applyFont="1" applyFill="1" applyBorder="1"/>
    <xf numFmtId="0" fontId="64" fillId="23" borderId="12" xfId="0" applyFont="1" applyFill="1" applyBorder="1"/>
    <xf numFmtId="0" fontId="32" fillId="23" borderId="0" xfId="0" applyFont="1" applyFill="1" applyBorder="1" applyAlignment="1" applyProtection="1">
      <alignment vertical="top" wrapText="1"/>
      <protection locked="0"/>
    </xf>
    <xf numFmtId="0" fontId="69" fillId="0" borderId="0" xfId="163"/>
    <xf numFmtId="0" fontId="6" fillId="0" borderId="0" xfId="162" applyFont="1" applyAlignment="1">
      <alignment horizontal="left"/>
    </xf>
    <xf numFmtId="190" fontId="57" fillId="32" borderId="0" xfId="103" applyNumberFormat="1" applyFont="1" applyFill="1" applyAlignment="1">
      <alignment horizontal="center"/>
    </xf>
    <xf numFmtId="189" fontId="57" fillId="32" borderId="0" xfId="103" applyNumberFormat="1" applyFont="1" applyFill="1" applyAlignment="1">
      <alignment horizontal="center"/>
    </xf>
    <xf numFmtId="189" fontId="32" fillId="33" borderId="0" xfId="103" applyNumberFormat="1" applyFont="1" applyFill="1" applyBorder="1" applyAlignment="1">
      <alignment horizontal="center"/>
    </xf>
    <xf numFmtId="2" fontId="27" fillId="24" borderId="28" xfId="103" applyNumberFormat="1" applyFont="1" applyFill="1" applyBorder="1" applyAlignment="1">
      <alignment horizontal="center"/>
    </xf>
    <xf numFmtId="2" fontId="27" fillId="24" borderId="20" xfId="103" applyNumberFormat="1" applyFont="1" applyFill="1" applyBorder="1" applyAlignment="1">
      <alignment horizontal="center"/>
    </xf>
    <xf numFmtId="10" fontId="57" fillId="32" borderId="0" xfId="103" applyNumberFormat="1" applyFont="1" applyFill="1" applyAlignment="1">
      <alignment horizontal="center"/>
    </xf>
    <xf numFmtId="0" fontId="27" fillId="8" borderId="0" xfId="0" applyFont="1" applyFill="1"/>
    <xf numFmtId="0" fontId="27" fillId="8" borderId="0" xfId="0" applyFont="1" applyFill="1" applyBorder="1"/>
    <xf numFmtId="185" fontId="27" fillId="8" borderId="0" xfId="0" applyNumberFormat="1" applyFont="1" applyFill="1" applyBorder="1"/>
    <xf numFmtId="0" fontId="27" fillId="8" borderId="0" xfId="0" applyFont="1" applyFill="1" applyAlignment="1">
      <alignment horizontal="left"/>
    </xf>
    <xf numFmtId="0" fontId="67" fillId="8" borderId="0" xfId="0" applyFont="1" applyFill="1" applyAlignment="1">
      <alignment horizontal="center"/>
    </xf>
    <xf numFmtId="9" fontId="0" fillId="8" borderId="0" xfId="0" applyNumberFormat="1" applyFill="1" applyBorder="1" applyAlignment="1">
      <alignment horizontal="center"/>
    </xf>
    <xf numFmtId="9" fontId="0" fillId="8" borderId="0" xfId="0" applyNumberFormat="1" applyFill="1" applyAlignment="1">
      <alignment horizontal="center"/>
    </xf>
    <xf numFmtId="10" fontId="57" fillId="0" borderId="0" xfId="169" applyNumberFormat="1" applyFont="1" applyAlignment="1">
      <alignment horizontal="center"/>
    </xf>
    <xf numFmtId="180" fontId="0" fillId="8" borderId="0" xfId="0" applyNumberFormat="1" applyFill="1" applyAlignment="1">
      <alignment horizontal="center"/>
    </xf>
    <xf numFmtId="10" fontId="27" fillId="26" borderId="0" xfId="166" quotePrefix="1" applyNumberFormat="1" applyFont="1" applyFill="1" applyBorder="1"/>
    <xf numFmtId="0" fontId="91" fillId="8" borderId="0" xfId="0" applyFont="1" applyFill="1" applyBorder="1" applyAlignment="1" applyProtection="1">
      <alignment horizontal="left" vertical="center" indent="1"/>
    </xf>
    <xf numFmtId="6" fontId="91" fillId="8" borderId="0" xfId="0" quotePrefix="1" applyNumberFormat="1" applyFont="1" applyFill="1" applyAlignment="1" applyProtection="1">
      <alignment horizontal="center" vertical="center"/>
    </xf>
    <xf numFmtId="9" fontId="91" fillId="8" borderId="0" xfId="0" applyNumberFormat="1" applyFont="1" applyFill="1" applyAlignment="1" applyProtection="1">
      <alignment horizontal="center" vertical="center"/>
    </xf>
    <xf numFmtId="6" fontId="91" fillId="8" borderId="0" xfId="0" quotePrefix="1" applyNumberFormat="1" applyFont="1" applyFill="1" applyBorder="1" applyAlignment="1" applyProtection="1">
      <alignment horizontal="center" vertical="center"/>
    </xf>
    <xf numFmtId="9" fontId="91" fillId="8" borderId="0" xfId="0" quotePrefix="1" applyNumberFormat="1" applyFont="1" applyFill="1" applyBorder="1" applyAlignment="1" applyProtection="1">
      <alignment horizontal="center" vertical="center"/>
    </xf>
    <xf numFmtId="1" fontId="91" fillId="8" borderId="0" xfId="0" applyNumberFormat="1" applyFont="1" applyFill="1" applyBorder="1" applyAlignment="1" applyProtection="1">
      <alignment horizontal="center" vertical="center"/>
    </xf>
    <xf numFmtId="0" fontId="57" fillId="0" borderId="0" xfId="193" applyFont="1"/>
    <xf numFmtId="0" fontId="57" fillId="0" borderId="0" xfId="193" applyFont="1" applyFill="1" applyBorder="1"/>
    <xf numFmtId="6" fontId="29" fillId="24" borderId="15" xfId="0" applyNumberFormat="1" applyFont="1" applyFill="1" applyBorder="1" applyAlignment="1">
      <alignment horizontal="center"/>
    </xf>
    <xf numFmtId="8" fontId="53" fillId="5" borderId="15" xfId="0" applyNumberFormat="1" applyFont="1" applyFill="1" applyBorder="1" applyAlignment="1">
      <alignment horizontal="center"/>
    </xf>
    <xf numFmtId="8" fontId="53" fillId="5" borderId="24" xfId="0" applyNumberFormat="1" applyFont="1" applyFill="1" applyBorder="1" applyAlignment="1">
      <alignment horizontal="center"/>
    </xf>
    <xf numFmtId="9" fontId="29" fillId="24" borderId="24" xfId="0" applyNumberFormat="1" applyFont="1" applyFill="1" applyBorder="1" applyAlignment="1">
      <alignment horizontal="center"/>
    </xf>
    <xf numFmtId="3" fontId="53" fillId="5" borderId="15" xfId="0" applyNumberFormat="1" applyFont="1" applyFill="1" applyBorder="1" applyAlignment="1">
      <alignment horizontal="center"/>
    </xf>
    <xf numFmtId="3" fontId="53" fillId="5" borderId="24" xfId="0" applyNumberFormat="1" applyFont="1" applyFill="1" applyBorder="1" applyAlignment="1">
      <alignment horizontal="center"/>
    </xf>
    <xf numFmtId="0" fontId="62" fillId="5" borderId="0" xfId="168" applyNumberFormat="1" applyFont="1" applyFill="1" applyBorder="1" applyAlignment="1">
      <alignment vertical="center"/>
    </xf>
    <xf numFmtId="0" fontId="62" fillId="0" borderId="0" xfId="194" applyFont="1"/>
    <xf numFmtId="0" fontId="62" fillId="23" borderId="0" xfId="194" applyFont="1" applyFill="1"/>
    <xf numFmtId="0" fontId="62" fillId="23" borderId="0" xfId="103" applyFont="1" applyFill="1"/>
    <xf numFmtId="0" fontId="57" fillId="0" borderId="0" xfId="195" applyFont="1"/>
    <xf numFmtId="0" fontId="57" fillId="0" borderId="0" xfId="195" applyFont="1" applyFill="1" applyBorder="1"/>
    <xf numFmtId="0" fontId="27" fillId="4" borderId="0" xfId="194" applyFont="1" applyFill="1"/>
    <xf numFmtId="0" fontId="27" fillId="4" borderId="0" xfId="194" applyFont="1" applyFill="1" applyAlignment="1">
      <alignment horizontal="center"/>
    </xf>
    <xf numFmtId="0" fontId="27" fillId="4" borderId="0" xfId="194" applyFont="1" applyFill="1" applyAlignment="1">
      <alignment horizontal="left"/>
    </xf>
    <xf numFmtId="0" fontId="57" fillId="0" borderId="0" xfId="194" applyFont="1"/>
    <xf numFmtId="0" fontId="27" fillId="4" borderId="0" xfId="194" applyFont="1" applyFill="1" applyAlignment="1">
      <alignment vertical="center"/>
    </xf>
    <xf numFmtId="0" fontId="67" fillId="4" borderId="0" xfId="194" applyFont="1" applyFill="1" applyAlignment="1">
      <alignment vertical="center"/>
    </xf>
    <xf numFmtId="0" fontId="62" fillId="0" borderId="0" xfId="194" quotePrefix="1" applyFont="1"/>
    <xf numFmtId="0" fontId="27" fillId="24" borderId="0" xfId="194" applyFont="1" applyFill="1"/>
    <xf numFmtId="0" fontId="27" fillId="26" borderId="0" xfId="194" applyFont="1" applyFill="1"/>
    <xf numFmtId="0" fontId="57" fillId="5" borderId="0" xfId="194" applyFont="1" applyFill="1"/>
    <xf numFmtId="0" fontId="57" fillId="23" borderId="0" xfId="194" applyFont="1" applyFill="1"/>
    <xf numFmtId="0" fontId="58" fillId="0" borderId="0" xfId="194" applyFont="1"/>
    <xf numFmtId="0" fontId="32" fillId="0" borderId="0" xfId="194" applyFont="1"/>
    <xf numFmtId="0" fontId="57" fillId="0" borderId="0" xfId="196" applyFont="1"/>
    <xf numFmtId="0" fontId="57" fillId="0" borderId="0" xfId="196" applyFont="1" applyFill="1" applyBorder="1"/>
    <xf numFmtId="0" fontId="149" fillId="0" borderId="0" xfId="196" applyFont="1" applyFill="1" applyBorder="1"/>
    <xf numFmtId="0" fontId="27" fillId="3" borderId="0" xfId="194" applyFont="1" applyFill="1"/>
    <xf numFmtId="0" fontId="67" fillId="3" borderId="0" xfId="194" applyFont="1" applyFill="1"/>
    <xf numFmtId="0" fontId="57" fillId="5" borderId="0" xfId="183" applyFont="1" applyFill="1" applyAlignment="1">
      <alignment horizontal="center"/>
    </xf>
    <xf numFmtId="38" fontId="0" fillId="5" borderId="0" xfId="0" applyNumberFormat="1" applyFill="1" applyAlignment="1">
      <alignment horizontal="center" vertical="center"/>
    </xf>
    <xf numFmtId="8" fontId="0" fillId="5" borderId="0" xfId="0" applyNumberFormat="1" applyFill="1" applyAlignment="1">
      <alignment horizontal="center" vertical="center"/>
    </xf>
    <xf numFmtId="0" fontId="79" fillId="8" borderId="30" xfId="0" applyFont="1" applyFill="1" applyBorder="1" applyAlignment="1" applyProtection="1">
      <alignment horizontal="center" vertical="center"/>
    </xf>
    <xf numFmtId="0" fontId="80" fillId="8" borderId="33" xfId="0" applyFont="1" applyFill="1" applyBorder="1" applyAlignment="1" applyProtection="1">
      <alignment vertical="center"/>
    </xf>
    <xf numFmtId="9" fontId="151" fillId="8" borderId="33" xfId="0" applyNumberFormat="1" applyFont="1" applyFill="1" applyBorder="1" applyAlignment="1" applyProtection="1">
      <alignment horizontal="center" vertical="center"/>
    </xf>
    <xf numFmtId="0" fontId="77" fillId="8" borderId="33" xfId="0" applyFont="1" applyFill="1" applyBorder="1" applyAlignment="1" applyProtection="1">
      <alignment horizontal="center" vertical="center"/>
    </xf>
    <xf numFmtId="8" fontId="79" fillId="8" borderId="30" xfId="0" applyNumberFormat="1" applyFont="1" applyFill="1" applyBorder="1" applyAlignment="1" applyProtection="1">
      <alignment horizontal="center" vertical="center"/>
    </xf>
    <xf numFmtId="0" fontId="79" fillId="8" borderId="0" xfId="0" applyFont="1" applyFill="1" applyBorder="1" applyAlignment="1" applyProtection="1">
      <alignment horizontal="center" vertical="center"/>
    </xf>
    <xf numFmtId="8" fontId="79" fillId="8" borderId="0" xfId="0" applyNumberFormat="1" applyFont="1" applyFill="1" applyBorder="1" applyAlignment="1" applyProtection="1">
      <alignment horizontal="center" vertical="center"/>
    </xf>
    <xf numFmtId="179" fontId="79" fillId="8" borderId="0" xfId="0" applyNumberFormat="1" applyFont="1" applyFill="1" applyBorder="1" applyAlignment="1" applyProtection="1">
      <alignment horizontal="center" vertical="center"/>
    </xf>
    <xf numFmtId="180" fontId="79" fillId="8" borderId="0" xfId="0" applyNumberFormat="1" applyFont="1" applyFill="1" applyBorder="1" applyAlignment="1" applyProtection="1">
      <alignment horizontal="center" vertical="center"/>
    </xf>
    <xf numFmtId="0" fontId="80" fillId="8" borderId="30" xfId="0" applyFont="1" applyFill="1" applyBorder="1" applyAlignment="1" applyProtection="1">
      <alignment horizontal="center" vertical="center"/>
    </xf>
    <xf numFmtId="0" fontId="152" fillId="8" borderId="33" xfId="0" applyFont="1" applyFill="1" applyBorder="1" applyAlignment="1" applyProtection="1">
      <alignment horizontal="center" vertical="center"/>
    </xf>
    <xf numFmtId="0" fontId="80" fillId="8" borderId="33" xfId="0" applyFont="1" applyFill="1" applyBorder="1" applyAlignment="1" applyProtection="1">
      <alignment horizontal="center" vertical="center"/>
    </xf>
    <xf numFmtId="179" fontId="80" fillId="8" borderId="0" xfId="0" applyNumberFormat="1" applyFont="1" applyFill="1" applyBorder="1" applyAlignment="1" applyProtection="1">
      <alignment horizontal="center" vertical="center"/>
    </xf>
    <xf numFmtId="0" fontId="88" fillId="8" borderId="0" xfId="0" applyFont="1" applyFill="1" applyBorder="1" applyAlignment="1" applyProtection="1">
      <alignment horizontal="center" vertical="center"/>
    </xf>
    <xf numFmtId="179" fontId="151" fillId="8" borderId="33" xfId="0" applyNumberFormat="1" applyFont="1" applyFill="1" applyBorder="1" applyAlignment="1" applyProtection="1">
      <alignment horizontal="center" vertical="center"/>
    </xf>
    <xf numFmtId="179" fontId="80" fillId="8" borderId="33" xfId="0" applyNumberFormat="1" applyFont="1" applyFill="1" applyBorder="1" applyAlignment="1" applyProtection="1">
      <alignment horizontal="center" vertical="center"/>
    </xf>
    <xf numFmtId="1" fontId="79" fillId="8" borderId="0" xfId="0" applyNumberFormat="1" applyFont="1" applyFill="1" applyBorder="1" applyAlignment="1" applyProtection="1">
      <alignment horizontal="center" vertical="center"/>
    </xf>
    <xf numFmtId="186" fontId="0" fillId="23" borderId="43" xfId="0" applyNumberFormat="1" applyFont="1" applyFill="1" applyBorder="1"/>
    <xf numFmtId="0" fontId="2" fillId="0" borderId="0" xfId="176" applyFont="1"/>
    <xf numFmtId="9" fontId="76" fillId="8" borderId="0" xfId="134" applyFont="1" applyFill="1" applyAlignment="1" applyProtection="1">
      <alignment vertical="center"/>
    </xf>
    <xf numFmtId="191" fontId="79" fillId="8" borderId="0" xfId="0" applyNumberFormat="1" applyFont="1" applyFill="1" applyBorder="1" applyAlignment="1" applyProtection="1">
      <alignment horizontal="center" vertical="center"/>
    </xf>
    <xf numFmtId="191" fontId="80" fillId="8" borderId="0" xfId="0" applyNumberFormat="1" applyFont="1" applyFill="1" applyBorder="1" applyAlignment="1" applyProtection="1">
      <alignment horizontal="center" vertical="center"/>
    </xf>
    <xf numFmtId="191" fontId="80" fillId="8" borderId="0" xfId="0" applyNumberFormat="1" applyFont="1" applyFill="1" applyBorder="1" applyAlignment="1" applyProtection="1">
      <alignment vertical="center"/>
    </xf>
    <xf numFmtId="9" fontId="80" fillId="8" borderId="33" xfId="0" applyNumberFormat="1" applyFont="1" applyFill="1" applyBorder="1" applyAlignment="1" applyProtection="1">
      <alignment vertical="center"/>
    </xf>
    <xf numFmtId="179" fontId="80" fillId="8" borderId="33" xfId="0" applyNumberFormat="1" applyFont="1" applyFill="1" applyBorder="1" applyAlignment="1" applyProtection="1">
      <alignment vertical="center"/>
    </xf>
    <xf numFmtId="0" fontId="1" fillId="0" borderId="0" xfId="169" applyFont="1"/>
    <xf numFmtId="179" fontId="0" fillId="23" borderId="0" xfId="0" applyNumberFormat="1" applyFill="1" applyAlignment="1">
      <alignment horizontal="center" vertical="center"/>
    </xf>
    <xf numFmtId="0" fontId="32" fillId="0" borderId="6" xfId="0" applyFont="1" applyBorder="1" applyAlignment="1" applyProtection="1">
      <alignment horizontal="center"/>
      <protection locked="0"/>
    </xf>
    <xf numFmtId="0" fontId="32" fillId="0" borderId="5" xfId="0" applyFont="1" applyBorder="1" applyAlignment="1" applyProtection="1">
      <alignment horizontal="center"/>
      <protection locked="0"/>
    </xf>
    <xf numFmtId="0" fontId="74" fillId="40" borderId="0" xfId="0" applyFont="1" applyFill="1" applyBorder="1" applyAlignment="1" applyProtection="1">
      <alignment horizontal="center" vertical="center"/>
    </xf>
    <xf numFmtId="0" fontId="98" fillId="40" borderId="0" xfId="0" applyFont="1" applyFill="1" applyBorder="1" applyAlignment="1" applyProtection="1">
      <alignment horizontal="center" vertical="center"/>
    </xf>
    <xf numFmtId="0" fontId="99" fillId="42" borderId="0" xfId="0" applyFont="1" applyFill="1" applyBorder="1" applyAlignment="1" applyProtection="1">
      <alignment horizontal="center" vertical="center"/>
      <protection locked="0"/>
    </xf>
    <xf numFmtId="0" fontId="79" fillId="8" borderId="30" xfId="0" applyFont="1" applyFill="1" applyBorder="1" applyAlignment="1" applyProtection="1">
      <alignment horizontal="left" vertical="center"/>
    </xf>
    <xf numFmtId="0" fontId="79" fillId="8" borderId="0" xfId="0" applyFont="1" applyFill="1" applyBorder="1" applyAlignment="1" applyProtection="1">
      <alignment horizontal="left" vertical="center"/>
    </xf>
    <xf numFmtId="0" fontId="79" fillId="8" borderId="33" xfId="0" applyFont="1" applyFill="1" applyBorder="1" applyAlignment="1" applyProtection="1">
      <alignment horizontal="left" vertical="center"/>
    </xf>
    <xf numFmtId="0" fontId="85" fillId="27" borderId="0" xfId="0" applyFont="1" applyFill="1" applyBorder="1" applyAlignment="1" applyProtection="1">
      <alignment horizontal="center" vertical="center" wrapText="1"/>
    </xf>
    <xf numFmtId="0" fontId="115" fillId="2" borderId="35" xfId="0" applyFont="1" applyFill="1" applyBorder="1" applyAlignment="1" applyProtection="1">
      <alignment horizontal="center" vertical="center"/>
    </xf>
    <xf numFmtId="0" fontId="115" fillId="2" borderId="36" xfId="0" applyFont="1" applyFill="1" applyBorder="1" applyAlignment="1" applyProtection="1">
      <alignment horizontal="center" vertical="center"/>
    </xf>
    <xf numFmtId="0" fontId="115" fillId="2" borderId="37" xfId="0" applyFont="1" applyFill="1" applyBorder="1" applyAlignment="1" applyProtection="1">
      <alignment horizontal="center" vertical="center"/>
    </xf>
    <xf numFmtId="0" fontId="85" fillId="2" borderId="0" xfId="0" applyFont="1" applyFill="1" applyBorder="1" applyAlignment="1" applyProtection="1">
      <alignment horizontal="left" vertical="center" wrapText="1" indent="9"/>
    </xf>
    <xf numFmtId="0" fontId="85" fillId="28" borderId="0" xfId="0" applyFont="1" applyFill="1" applyBorder="1" applyAlignment="1" applyProtection="1">
      <alignment horizontal="center" vertical="center" wrapText="1"/>
    </xf>
    <xf numFmtId="0" fontId="91" fillId="8" borderId="0" xfId="0" applyFont="1" applyFill="1" applyAlignment="1" applyProtection="1">
      <alignment horizontal="center" vertical="center"/>
    </xf>
    <xf numFmtId="6" fontId="91" fillId="8" borderId="0" xfId="0" applyNumberFormat="1" applyFont="1" applyFill="1" applyAlignment="1" applyProtection="1">
      <alignment horizontal="center" vertical="center"/>
    </xf>
    <xf numFmtId="0" fontId="85" fillId="28" borderId="0" xfId="0" applyFont="1" applyFill="1" applyBorder="1" applyAlignment="1" applyProtection="1">
      <alignment horizontal="center" vertical="center"/>
    </xf>
    <xf numFmtId="0" fontId="85" fillId="41" borderId="0" xfId="0" applyFont="1" applyFill="1" applyBorder="1" applyAlignment="1" applyProtection="1">
      <alignment horizontal="center" vertical="center"/>
    </xf>
    <xf numFmtId="0" fontId="119" fillId="0" borderId="0" xfId="176" applyFont="1" applyAlignment="1">
      <alignment horizontal="left"/>
    </xf>
    <xf numFmtId="0" fontId="32" fillId="0" borderId="0" xfId="103" applyFont="1" applyAlignment="1">
      <alignment horizontal="center"/>
    </xf>
    <xf numFmtId="0" fontId="57" fillId="0" borderId="0" xfId="184" applyFont="1" applyAlignment="1">
      <alignment horizontal="center" vertical="center" wrapText="1"/>
    </xf>
    <xf numFmtId="0" fontId="27" fillId="4" borderId="0" xfId="184" applyFont="1" applyFill="1" applyBorder="1" applyAlignment="1">
      <alignment horizontal="center" vertical="center"/>
    </xf>
    <xf numFmtId="0" fontId="32" fillId="0" borderId="16" xfId="0" applyFont="1" applyBorder="1" applyAlignment="1">
      <alignment horizontal="center"/>
    </xf>
    <xf numFmtId="0" fontId="32" fillId="0" borderId="34" xfId="0" applyFont="1" applyBorder="1" applyAlignment="1">
      <alignment horizontal="center"/>
    </xf>
    <xf numFmtId="0" fontId="32" fillId="0" borderId="45" xfId="0" applyFont="1" applyBorder="1" applyAlignment="1">
      <alignment horizontal="center"/>
    </xf>
  </cellXfs>
  <cellStyles count="197">
    <cellStyle name="0" xfId="2"/>
    <cellStyle name="000" xfId="3"/>
    <cellStyle name="000 2" xfId="4"/>
    <cellStyle name="3_D" xfId="5"/>
    <cellStyle name="3_D 2" xfId="6"/>
    <cellStyle name="3_D_BTS_DTK" xfId="7"/>
    <cellStyle name="3_D_BTS_DTK 2" xfId="8"/>
    <cellStyle name="3_D_Tool" xfId="9"/>
    <cellStyle name="3_D_Tool 2" xfId="10"/>
    <cellStyle name="3_DNoColor" xfId="11"/>
    <cellStyle name="3_DNoColor 2" xfId="12"/>
    <cellStyle name="3_DNoColor_BTS_DTK" xfId="13"/>
    <cellStyle name="3_DNoColor_BTS_DTK 2" xfId="14"/>
    <cellStyle name="CellLock" xfId="15"/>
    <cellStyle name="CellLock 2" xfId="16"/>
    <cellStyle name="CellUnlock" xfId="17"/>
    <cellStyle name="CellUnlock 2" xfId="18"/>
    <cellStyle name="Column_Title" xfId="19"/>
    <cellStyle name="Comma  - Style1" xfId="20"/>
    <cellStyle name="Comma  - Style2" xfId="21"/>
    <cellStyle name="Comma  - Style3" xfId="22"/>
    <cellStyle name="Comma  - Style4" xfId="23"/>
    <cellStyle name="Comma  - Style5" xfId="24"/>
    <cellStyle name="Comma  - Style6" xfId="25"/>
    <cellStyle name="Comma  - Style7" xfId="26"/>
    <cellStyle name="Comma  - Style8" xfId="27"/>
    <cellStyle name="Comma [0] 2" xfId="28"/>
    <cellStyle name="Comma [0] 2 2" xfId="143"/>
    <cellStyle name="Comma [0] 3" xfId="29"/>
    <cellStyle name="Comma [0] 3 2" xfId="30"/>
    <cellStyle name="Comma [0] 3 2 2" xfId="144"/>
    <cellStyle name="Comma [0] 3 3" xfId="145"/>
    <cellStyle name="Comma [0] 4" xfId="170"/>
    <cellStyle name="Comma [0] Centered" xfId="31"/>
    <cellStyle name="Comma [0] Centered 2" xfId="32"/>
    <cellStyle name="Comma 0" xfId="33"/>
    <cellStyle name="Comma 000" xfId="34"/>
    <cellStyle name="Comma 000,0" xfId="35"/>
    <cellStyle name="Comma 000,0 2" xfId="36"/>
    <cellStyle name="Comma 000,000" xfId="37"/>
    <cellStyle name="Comma 000,000 2" xfId="38"/>
    <cellStyle name="Comma 000_Toyota_Dealer_Sim.2004Jul28" xfId="39"/>
    <cellStyle name="Comma 1" xfId="40"/>
    <cellStyle name="Comma 10" xfId="179"/>
    <cellStyle name="Comma 11" xfId="182"/>
    <cellStyle name="Comma 2" xfId="41"/>
    <cellStyle name="Comma 2 2" xfId="146"/>
    <cellStyle name="Comma 2 3" xfId="173"/>
    <cellStyle name="Comma 3" xfId="42"/>
    <cellStyle name="Comma 3 2" xfId="43"/>
    <cellStyle name="Comma 3 2 2" xfId="147"/>
    <cellStyle name="Comma 3 3" xfId="148"/>
    <cellStyle name="Comma 4" xfId="44"/>
    <cellStyle name="Comma 4 2" xfId="45"/>
    <cellStyle name="Comma 4 2 2" xfId="149"/>
    <cellStyle name="Comma 4 3" xfId="150"/>
    <cellStyle name="Comma 5" xfId="46"/>
    <cellStyle name="Comma 5 2" xfId="47"/>
    <cellStyle name="Comma 5 2 2" xfId="151"/>
    <cellStyle name="Comma 5 3" xfId="152"/>
    <cellStyle name="Comma 6" xfId="48"/>
    <cellStyle name="Comma 6 2" xfId="49"/>
    <cellStyle name="Comma 6 2 2" xfId="153"/>
    <cellStyle name="Comma 6 3" xfId="154"/>
    <cellStyle name="Comma 7" xfId="50"/>
    <cellStyle name="Comma 7 2" xfId="155"/>
    <cellStyle name="Comma 8" xfId="51"/>
    <cellStyle name="Comma 8 2" xfId="156"/>
    <cellStyle name="Comma 9" xfId="168"/>
    <cellStyle name="Comma Centered" xfId="52"/>
    <cellStyle name="Comma Centered 2" xfId="53"/>
    <cellStyle name="Comma Centered 2 2" xfId="157"/>
    <cellStyle name="Comma Centered 3" xfId="158"/>
    <cellStyle name="Comma, Centered" xfId="54"/>
    <cellStyle name="Comma, No Dec" xfId="55"/>
    <cellStyle name="Comma, No Dec 2" xfId="56"/>
    <cellStyle name="Comma, No Dec No 0" xfId="57"/>
    <cellStyle name="Comma, Pos" xfId="58"/>
    <cellStyle name="Comma, Pos 2" xfId="59"/>
    <cellStyle name="Comma, Pos, No Dec" xfId="60"/>
    <cellStyle name="Comma, Pos, No Dec, No 0" xfId="61"/>
    <cellStyle name="Comma, Pos, No Dec, No 0 2" xfId="62"/>
    <cellStyle name="Comma, Pos, No Dec_BarclaysFeedbacks" xfId="63"/>
    <cellStyle name="Comma0" xfId="64"/>
    <cellStyle name="Comma0 - Style4" xfId="65"/>
    <cellStyle name="Comma000" xfId="66"/>
    <cellStyle name="Comma1 - Style1" xfId="67"/>
    <cellStyle name="ContentsHyperlink" xfId="68"/>
    <cellStyle name="Curren - Style2" xfId="69"/>
    <cellStyle name="Curren - Style5" xfId="70"/>
    <cellStyle name="Currency [0] (000)" xfId="71"/>
    <cellStyle name="Currency 2" xfId="72"/>
    <cellStyle name="Currency 2 2" xfId="73"/>
    <cellStyle name="Currency, No Dec" xfId="74"/>
    <cellStyle name="Currency, No Dec 2" xfId="75"/>
    <cellStyle name="Currency, Pos, 2 Dec" xfId="76"/>
    <cellStyle name="Currency, Pos, 2 Dec 2" xfId="77"/>
    <cellStyle name="Currency, Pos, No Dec" xfId="78"/>
    <cellStyle name="Currency, Pos, No Dec 2" xfId="79"/>
    <cellStyle name="Currency0" xfId="80"/>
    <cellStyle name="Date" xfId="81"/>
    <cellStyle name="DateTTM" xfId="82"/>
    <cellStyle name="DateTTM 2" xfId="83"/>
    <cellStyle name="Decision" xfId="84"/>
    <cellStyle name="Euro" xfId="85"/>
    <cellStyle name="Euro 2" xfId="86"/>
    <cellStyle name="Feedback000" xfId="87"/>
    <cellStyle name="Feedback000 2" xfId="88"/>
    <cellStyle name="Feedback000,000" xfId="89"/>
    <cellStyle name="Feedback000,000 2" xfId="90"/>
    <cellStyle name="Feedback000_Autodesk_SW_BAFeedbacks" xfId="91"/>
    <cellStyle name="Fixed" xfId="92"/>
    <cellStyle name="Fixed3 - Style3" xfId="93"/>
    <cellStyle name="Fraction (1)" xfId="94"/>
    <cellStyle name="Grey" xfId="95"/>
    <cellStyle name="Grey 2" xfId="96"/>
    <cellStyle name="Hyperlink" xfId="163" builtinId="8"/>
    <cellStyle name="Input [yellow]" xfId="97"/>
    <cellStyle name="Input [yellow] 2" xfId="98"/>
    <cellStyle name="InputBox" xfId="99"/>
    <cellStyle name="InputBox 2" xfId="100"/>
    <cellStyle name="no dec" xfId="101"/>
    <cellStyle name="Normal" xfId="0" builtinId="0"/>
    <cellStyle name="Normal - Style1" xfId="102"/>
    <cellStyle name="Normal 10" xfId="161"/>
    <cellStyle name="Normal 10 2" xfId="169"/>
    <cellStyle name="Normal 10 3" xfId="188"/>
    <cellStyle name="Normal 10 4" xfId="189"/>
    <cellStyle name="Normal 11" xfId="165"/>
    <cellStyle name="Normal 11 2" xfId="174"/>
    <cellStyle name="Normal 11 3" xfId="180"/>
    <cellStyle name="Normal 11 4" xfId="184"/>
    <cellStyle name="Normal 11 5" xfId="187"/>
    <cellStyle name="Normal 12" xfId="166"/>
    <cellStyle name="Normal 13" xfId="178"/>
    <cellStyle name="Normal 14" xfId="186"/>
    <cellStyle name="Normal 15" xfId="162"/>
    <cellStyle name="Normal 15 12" xfId="164"/>
    <cellStyle name="Normal 15 12 2" xfId="176"/>
    <cellStyle name="Normal 15 12 3" xfId="181"/>
    <cellStyle name="Normal 15 12 4" xfId="192"/>
    <cellStyle name="Normal 15 12 5" xfId="193"/>
    <cellStyle name="Normal 15 12 6" xfId="195"/>
    <cellStyle name="Normal 15 12 7" xfId="196"/>
    <cellStyle name="Normal 15 2" xfId="190"/>
    <cellStyle name="Normal 16" xfId="191"/>
    <cellStyle name="Normal 16 2" xfId="194"/>
    <cellStyle name="Normal 17" xfId="185"/>
    <cellStyle name="Normal 19" xfId="183"/>
    <cellStyle name="Normal 2" xfId="1"/>
    <cellStyle name="Normal 2 2" xfId="103"/>
    <cellStyle name="Normal 2 3" xfId="159"/>
    <cellStyle name="Normal 2 4" xfId="175"/>
    <cellStyle name="Normal 3" xfId="104"/>
    <cellStyle name="Normal 3 2" xfId="172"/>
    <cellStyle name="Normal 4" xfId="105"/>
    <cellStyle name="Normal 4 2" xfId="106"/>
    <cellStyle name="Normal 5" xfId="107"/>
    <cellStyle name="Normal 5 2" xfId="108"/>
    <cellStyle name="Normal 6" xfId="109"/>
    <cellStyle name="Normal 6 2" xfId="110"/>
    <cellStyle name="Normal 7" xfId="111"/>
    <cellStyle name="Normal 8" xfId="112"/>
    <cellStyle name="Normal 9" xfId="141"/>
    <cellStyle name="Normal 9 2" xfId="142"/>
    <cellStyle name="Number [0]" xfId="113"/>
    <cellStyle name="Percen - Style2" xfId="114"/>
    <cellStyle name="Percen - Style3" xfId="115"/>
    <cellStyle name="Percent" xfId="140" builtinId="5"/>
    <cellStyle name="Percent (1)" xfId="116"/>
    <cellStyle name="Percent (2)" xfId="117"/>
    <cellStyle name="Percent [2]" xfId="118"/>
    <cellStyle name="Percent 0" xfId="119"/>
    <cellStyle name="Percent 0 2" xfId="120"/>
    <cellStyle name="Percent 00" xfId="121"/>
    <cellStyle name="Percent 00 2" xfId="122"/>
    <cellStyle name="Percent 00 2 2" xfId="123"/>
    <cellStyle name="Percent 00 3" xfId="124"/>
    <cellStyle name="Percent 10" xfId="167"/>
    <cellStyle name="Percent 11" xfId="171"/>
    <cellStyle name="Percent 12" xfId="177"/>
    <cellStyle name="Percent 2" xfId="125"/>
    <cellStyle name="Percent 3" xfId="126"/>
    <cellStyle name="Percent 3 2" xfId="127"/>
    <cellStyle name="Percent 4" xfId="128"/>
    <cellStyle name="Percent 4 2" xfId="129"/>
    <cellStyle name="Percent 5" xfId="130"/>
    <cellStyle name="Percent 5 2" xfId="131"/>
    <cellStyle name="Percent 6" xfId="132"/>
    <cellStyle name="Percent 6 2" xfId="133"/>
    <cellStyle name="Percent 7" xfId="134"/>
    <cellStyle name="Percent 8" xfId="135"/>
    <cellStyle name="Percent 9" xfId="160"/>
    <cellStyle name="Percent, Pos" xfId="136"/>
    <cellStyle name="Percent, Pos 2" xfId="137"/>
    <cellStyle name="Percent, Pos, No 0" xfId="138"/>
    <cellStyle name="Percent, Pos, No 0 2" xfId="139"/>
  </cellStyles>
  <dxfs count="1070">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000000"/>
      </font>
      <fill>
        <patternFill>
          <bgColor theme="0" tint="-0.1499679555650502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numFmt numFmtId="0" formatCode="General"/>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rgb="FFFFFFFF"/>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theme="0"/>
      </font>
      <numFmt numFmtId="0" formatCode="General"/>
      <fill>
        <patternFill patternType="none">
          <bgColor auto="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bgColor rgb="FFCCCCCC"/>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colors>
    <mruColors>
      <color rgb="FFFFE697"/>
      <color rgb="FFFDAD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44270584387813"/>
          <c:y val="2.4858757062146894E-2"/>
          <c:w val="0.85225770420869928"/>
          <c:h val="0.875554250633925"/>
        </c:manualLayout>
      </c:layout>
      <c:barChart>
        <c:barDir val="bar"/>
        <c:grouping val="clustered"/>
        <c:varyColors val="0"/>
        <c:ser>
          <c:idx val="2"/>
          <c:order val="0"/>
          <c:tx>
            <c:strRef>
              <c:f>Graphs!$F$59</c:f>
              <c:strCache>
                <c:ptCount val="1"/>
                <c:pt idx="0">
                  <c:v>Industry Average</c:v>
                </c:pt>
              </c:strCache>
            </c:strRef>
          </c:tx>
          <c:spPr>
            <a:solidFill>
              <a:schemeClr val="bg2">
                <a:lumMod val="5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Graphs!$F$60:$F$62</c:f>
              <c:numCache>
                <c:formatCode>General</c:formatCode>
                <c:ptCount val="3"/>
                <c:pt idx="0">
                  <c:v>5.75</c:v>
                </c:pt>
                <c:pt idx="1">
                  <c:v>5</c:v>
                </c:pt>
                <c:pt idx="2">
                  <c:v>6.3</c:v>
                </c:pt>
              </c:numCache>
            </c:numRef>
          </c:val>
          <c:extLst>
            <c:ext xmlns:c16="http://schemas.microsoft.com/office/drawing/2014/chart" uri="{C3380CC4-5D6E-409C-BE32-E72D297353CC}">
              <c16:uniqueId val="{00000001-AD86-4E29-97F1-2A4E42BDC8F9}"/>
            </c:ext>
          </c:extLst>
        </c:ser>
        <c:ser>
          <c:idx val="0"/>
          <c:order val="1"/>
          <c:tx>
            <c:strRef>
              <c:f>Graphs!$D$59</c:f>
              <c:strCache>
                <c:ptCount val="1"/>
                <c:pt idx="0">
                  <c:v>Last Round</c:v>
                </c:pt>
              </c:strCache>
            </c:strRef>
          </c:tx>
          <c:spPr>
            <a:solidFill>
              <a:schemeClr val="bg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Graphs!$D$60:$D$62</c:f>
              <c:numCache>
                <c:formatCode>General</c:formatCode>
                <c:ptCount val="3"/>
                <c:pt idx="0">
                  <c:v>5</c:v>
                </c:pt>
                <c:pt idx="1">
                  <c:v>4</c:v>
                </c:pt>
                <c:pt idx="2">
                  <c:v>7</c:v>
                </c:pt>
              </c:numCache>
            </c:numRef>
          </c:val>
          <c:extLst>
            <c:ext xmlns:c16="http://schemas.microsoft.com/office/drawing/2014/chart" uri="{C3380CC4-5D6E-409C-BE32-E72D297353CC}">
              <c16:uniqueId val="{00000003-AD86-4E29-97F1-2A4E42BDC8F9}"/>
            </c:ext>
          </c:extLst>
        </c:ser>
        <c:ser>
          <c:idx val="1"/>
          <c:order val="2"/>
          <c:tx>
            <c:strRef>
              <c:f>Graphs!$E$59</c:f>
              <c:strCache>
                <c:ptCount val="1"/>
                <c:pt idx="0">
                  <c:v>This Round</c:v>
                </c:pt>
              </c:strCache>
            </c:strRef>
          </c:tx>
          <c:spPr>
            <a:solidFill>
              <a:schemeClr val="bg2">
                <a:lumMod val="60000"/>
                <a:lumOff val="4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Graphs!$E$60:$E$62</c:f>
              <c:numCache>
                <c:formatCode>General</c:formatCode>
                <c:ptCount val="3"/>
                <c:pt idx="0">
                  <c:v>5</c:v>
                </c:pt>
                <c:pt idx="1">
                  <c:v>4</c:v>
                </c:pt>
                <c:pt idx="2">
                  <c:v>7</c:v>
                </c:pt>
              </c:numCache>
            </c:numRef>
          </c:val>
          <c:extLst>
            <c:ext xmlns:c16="http://schemas.microsoft.com/office/drawing/2014/chart" uri="{C3380CC4-5D6E-409C-BE32-E72D297353CC}">
              <c16:uniqueId val="{00000005-AD86-4E29-97F1-2A4E42BDC8F9}"/>
            </c:ext>
          </c:extLst>
        </c:ser>
        <c:dLbls>
          <c:dLblPos val="outEnd"/>
          <c:showLegendKey val="0"/>
          <c:showVal val="1"/>
          <c:showCatName val="0"/>
          <c:showSerName val="0"/>
          <c:showPercent val="0"/>
          <c:showBubbleSize val="0"/>
        </c:dLbls>
        <c:gapWidth val="150"/>
        <c:axId val="672967784"/>
        <c:axId val="672968960"/>
      </c:barChart>
      <c:catAx>
        <c:axId val="672967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2968960"/>
        <c:crosses val="autoZero"/>
        <c:auto val="1"/>
        <c:lblAlgn val="ctr"/>
        <c:lblOffset val="100"/>
        <c:noMultiLvlLbl val="0"/>
      </c:catAx>
      <c:valAx>
        <c:axId val="672968960"/>
        <c:scaling>
          <c:orientation val="minMax"/>
          <c:max val="17"/>
        </c:scaling>
        <c:delete val="1"/>
        <c:axPos val="b"/>
        <c:numFmt formatCode="General" sourceLinked="1"/>
        <c:majorTickMark val="out"/>
        <c:minorTickMark val="none"/>
        <c:tickLblPos val="nextTo"/>
        <c:crossAx val="672967784"/>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44270584387813"/>
          <c:y val="2.4858757062146894E-2"/>
          <c:w val="0.84714588312243733"/>
          <c:h val="0.875554250633925"/>
        </c:manualLayout>
      </c:layout>
      <c:barChart>
        <c:barDir val="bar"/>
        <c:grouping val="clustered"/>
        <c:varyColors val="0"/>
        <c:ser>
          <c:idx val="2"/>
          <c:order val="0"/>
          <c:tx>
            <c:strRef>
              <c:f>Graphs!$F$72</c:f>
              <c:strCache>
                <c:ptCount val="1"/>
                <c:pt idx="0">
                  <c:v>Industry Average</c:v>
                </c:pt>
              </c:strCache>
            </c:strRef>
          </c:tx>
          <c:spPr>
            <a:solidFill>
              <a:schemeClr val="bg2">
                <a:lumMod val="5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Graphs!$C$73:$C$74</c:f>
              <c:strCache>
                <c:ptCount val="2"/>
                <c:pt idx="0">
                  <c:v>Dynamo 365</c:v>
                </c:pt>
                <c:pt idx="1">
                  <c:v>Workspace 365</c:v>
                </c:pt>
              </c:strCache>
            </c:strRef>
          </c:cat>
          <c:val>
            <c:numRef>
              <c:f>Graphs!$F$73:$F$74</c:f>
              <c:numCache>
                <c:formatCode>0</c:formatCode>
                <c:ptCount val="2"/>
                <c:pt idx="0">
                  <c:v>7.5</c:v>
                </c:pt>
                <c:pt idx="1">
                  <c:v>6</c:v>
                </c:pt>
              </c:numCache>
            </c:numRef>
          </c:val>
          <c:extLst>
            <c:ext xmlns:c16="http://schemas.microsoft.com/office/drawing/2014/chart" uri="{C3380CC4-5D6E-409C-BE32-E72D297353CC}">
              <c16:uniqueId val="{00000007-05C4-49BA-9E5D-835E8C4C7D30}"/>
            </c:ext>
          </c:extLst>
        </c:ser>
        <c:ser>
          <c:idx val="0"/>
          <c:order val="1"/>
          <c:tx>
            <c:strRef>
              <c:f>Graphs!$D$72</c:f>
              <c:strCache>
                <c:ptCount val="1"/>
                <c:pt idx="0">
                  <c:v>Last Round</c:v>
                </c:pt>
              </c:strCache>
            </c:strRef>
          </c:tx>
          <c:spPr>
            <a:solidFill>
              <a:schemeClr val="bg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Graphs!$C$73:$C$74</c:f>
              <c:strCache>
                <c:ptCount val="2"/>
                <c:pt idx="0">
                  <c:v>Dynamo 365</c:v>
                </c:pt>
                <c:pt idx="1">
                  <c:v>Workspace 365</c:v>
                </c:pt>
              </c:strCache>
            </c:strRef>
          </c:cat>
          <c:val>
            <c:numRef>
              <c:f>Graphs!$D$73:$D$74</c:f>
              <c:numCache>
                <c:formatCode>#,##0</c:formatCode>
                <c:ptCount val="2"/>
                <c:pt idx="0">
                  <c:v>6</c:v>
                </c:pt>
                <c:pt idx="1">
                  <c:v>8</c:v>
                </c:pt>
              </c:numCache>
            </c:numRef>
          </c:val>
          <c:extLst>
            <c:ext xmlns:c16="http://schemas.microsoft.com/office/drawing/2014/chart" uri="{C3380CC4-5D6E-409C-BE32-E72D297353CC}">
              <c16:uniqueId val="{00000009-05C4-49BA-9E5D-835E8C4C7D30}"/>
            </c:ext>
          </c:extLst>
        </c:ser>
        <c:ser>
          <c:idx val="1"/>
          <c:order val="2"/>
          <c:tx>
            <c:strRef>
              <c:f>Graphs!$E$72</c:f>
              <c:strCache>
                <c:ptCount val="1"/>
                <c:pt idx="0">
                  <c:v>This Round</c:v>
                </c:pt>
              </c:strCache>
            </c:strRef>
          </c:tx>
          <c:spPr>
            <a:solidFill>
              <a:schemeClr val="bg2">
                <a:lumMod val="60000"/>
                <a:lumOff val="4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Graphs!$C$73:$C$74</c:f>
              <c:strCache>
                <c:ptCount val="2"/>
                <c:pt idx="0">
                  <c:v>Dynamo 365</c:v>
                </c:pt>
                <c:pt idx="1">
                  <c:v>Workspace 365</c:v>
                </c:pt>
              </c:strCache>
            </c:strRef>
          </c:cat>
          <c:val>
            <c:numRef>
              <c:f>Graphs!$E$73:$E$74</c:f>
              <c:numCache>
                <c:formatCode>#,##0</c:formatCode>
                <c:ptCount val="2"/>
                <c:pt idx="0">
                  <c:v>6</c:v>
                </c:pt>
                <c:pt idx="1">
                  <c:v>8</c:v>
                </c:pt>
              </c:numCache>
            </c:numRef>
          </c:val>
          <c:extLst>
            <c:ext xmlns:c16="http://schemas.microsoft.com/office/drawing/2014/chart" uri="{C3380CC4-5D6E-409C-BE32-E72D297353CC}">
              <c16:uniqueId val="{0000000B-05C4-49BA-9E5D-835E8C4C7D30}"/>
            </c:ext>
          </c:extLst>
        </c:ser>
        <c:dLbls>
          <c:dLblPos val="outEnd"/>
          <c:showLegendKey val="0"/>
          <c:showVal val="1"/>
          <c:showCatName val="0"/>
          <c:showSerName val="0"/>
          <c:showPercent val="0"/>
          <c:showBubbleSize val="0"/>
        </c:dLbls>
        <c:gapWidth val="150"/>
        <c:axId val="672969352"/>
        <c:axId val="672969744"/>
      </c:barChart>
      <c:catAx>
        <c:axId val="672969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2969744"/>
        <c:crosses val="autoZero"/>
        <c:auto val="1"/>
        <c:lblAlgn val="ctr"/>
        <c:lblOffset val="100"/>
        <c:noMultiLvlLbl val="0"/>
      </c:catAx>
      <c:valAx>
        <c:axId val="672969744"/>
        <c:scaling>
          <c:orientation val="minMax"/>
          <c:max val="17"/>
        </c:scaling>
        <c:delete val="1"/>
        <c:axPos val="b"/>
        <c:numFmt formatCode="0" sourceLinked="1"/>
        <c:majorTickMark val="out"/>
        <c:minorTickMark val="none"/>
        <c:tickLblPos val="nextTo"/>
        <c:crossAx val="672969352"/>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44270584387813"/>
          <c:y val="2.4858757062146894E-2"/>
          <c:w val="0.84714588312243733"/>
          <c:h val="0.875554250633925"/>
        </c:manualLayout>
      </c:layout>
      <c:barChart>
        <c:barDir val="bar"/>
        <c:grouping val="clustered"/>
        <c:varyColors val="0"/>
        <c:ser>
          <c:idx val="2"/>
          <c:order val="0"/>
          <c:tx>
            <c:strRef>
              <c:f>Graphs!$F$68</c:f>
              <c:strCache>
                <c:ptCount val="1"/>
                <c:pt idx="0">
                  <c:v>Industry Average</c:v>
                </c:pt>
              </c:strCache>
            </c:strRef>
          </c:tx>
          <c:spPr>
            <a:solidFill>
              <a:schemeClr val="bg2">
                <a:lumMod val="5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Graphs!$C$69:$C$70</c:f>
              <c:strCache>
                <c:ptCount val="2"/>
                <c:pt idx="0">
                  <c:v>Azul Data, Applications, and AI</c:v>
                </c:pt>
                <c:pt idx="1">
                  <c:v>Azul Infrastructure</c:v>
                </c:pt>
              </c:strCache>
            </c:strRef>
          </c:cat>
          <c:val>
            <c:numRef>
              <c:f>Graphs!$F$69:$F$70</c:f>
              <c:numCache>
                <c:formatCode>0</c:formatCode>
                <c:ptCount val="2"/>
                <c:pt idx="0">
                  <c:v>4.5999999999999996</c:v>
                </c:pt>
                <c:pt idx="1">
                  <c:v>5</c:v>
                </c:pt>
              </c:numCache>
            </c:numRef>
          </c:val>
          <c:extLst>
            <c:ext xmlns:c16="http://schemas.microsoft.com/office/drawing/2014/chart" uri="{C3380CC4-5D6E-409C-BE32-E72D297353CC}">
              <c16:uniqueId val="{00000001-2002-4CB3-87CF-E39778EBDE11}"/>
            </c:ext>
          </c:extLst>
        </c:ser>
        <c:ser>
          <c:idx val="0"/>
          <c:order val="1"/>
          <c:tx>
            <c:strRef>
              <c:f>Graphs!$D$68</c:f>
              <c:strCache>
                <c:ptCount val="1"/>
                <c:pt idx="0">
                  <c:v>Last Round</c:v>
                </c:pt>
              </c:strCache>
            </c:strRef>
          </c:tx>
          <c:spPr>
            <a:solidFill>
              <a:schemeClr val="bg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Graphs!$C$69:$C$70</c:f>
              <c:strCache>
                <c:ptCount val="2"/>
                <c:pt idx="0">
                  <c:v>Azul Data, Applications, and AI</c:v>
                </c:pt>
                <c:pt idx="1">
                  <c:v>Azul Infrastructure</c:v>
                </c:pt>
              </c:strCache>
            </c:strRef>
          </c:cat>
          <c:val>
            <c:numRef>
              <c:f>Graphs!$D$69:$D$70</c:f>
              <c:numCache>
                <c:formatCode>#,##0</c:formatCode>
                <c:ptCount val="2"/>
                <c:pt idx="0">
                  <c:v>4</c:v>
                </c:pt>
                <c:pt idx="1">
                  <c:v>4</c:v>
                </c:pt>
              </c:numCache>
            </c:numRef>
          </c:val>
          <c:extLst>
            <c:ext xmlns:c16="http://schemas.microsoft.com/office/drawing/2014/chart" uri="{C3380CC4-5D6E-409C-BE32-E72D297353CC}">
              <c16:uniqueId val="{00000003-2002-4CB3-87CF-E39778EBDE11}"/>
            </c:ext>
          </c:extLst>
        </c:ser>
        <c:ser>
          <c:idx val="1"/>
          <c:order val="2"/>
          <c:tx>
            <c:strRef>
              <c:f>Graphs!$E$68</c:f>
              <c:strCache>
                <c:ptCount val="1"/>
                <c:pt idx="0">
                  <c:v>This Round</c:v>
                </c:pt>
              </c:strCache>
            </c:strRef>
          </c:tx>
          <c:spPr>
            <a:solidFill>
              <a:schemeClr val="bg2">
                <a:lumMod val="60000"/>
                <a:lumOff val="4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Graphs!$C$69:$C$70</c:f>
              <c:strCache>
                <c:ptCount val="2"/>
                <c:pt idx="0">
                  <c:v>Azul Data, Applications, and AI</c:v>
                </c:pt>
                <c:pt idx="1">
                  <c:v>Azul Infrastructure</c:v>
                </c:pt>
              </c:strCache>
            </c:strRef>
          </c:cat>
          <c:val>
            <c:numRef>
              <c:f>Graphs!$E$69:$E$70</c:f>
              <c:numCache>
                <c:formatCode>#,##0</c:formatCode>
                <c:ptCount val="2"/>
                <c:pt idx="0">
                  <c:v>4</c:v>
                </c:pt>
                <c:pt idx="1">
                  <c:v>4</c:v>
                </c:pt>
              </c:numCache>
            </c:numRef>
          </c:val>
          <c:extLst>
            <c:ext xmlns:c16="http://schemas.microsoft.com/office/drawing/2014/chart" uri="{C3380CC4-5D6E-409C-BE32-E72D297353CC}">
              <c16:uniqueId val="{00000005-2002-4CB3-87CF-E39778EBDE11}"/>
            </c:ext>
          </c:extLst>
        </c:ser>
        <c:dLbls>
          <c:dLblPos val="outEnd"/>
          <c:showLegendKey val="0"/>
          <c:showVal val="1"/>
          <c:showCatName val="0"/>
          <c:showSerName val="0"/>
          <c:showPercent val="0"/>
          <c:showBubbleSize val="0"/>
        </c:dLbls>
        <c:gapWidth val="150"/>
        <c:axId val="672970136"/>
        <c:axId val="672968176"/>
      </c:barChart>
      <c:catAx>
        <c:axId val="672970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2968176"/>
        <c:crosses val="autoZero"/>
        <c:auto val="1"/>
        <c:lblAlgn val="ctr"/>
        <c:lblOffset val="100"/>
        <c:noMultiLvlLbl val="0"/>
      </c:catAx>
      <c:valAx>
        <c:axId val="672968176"/>
        <c:scaling>
          <c:orientation val="minMax"/>
          <c:max val="17"/>
        </c:scaling>
        <c:delete val="1"/>
        <c:axPos val="b"/>
        <c:numFmt formatCode="0" sourceLinked="1"/>
        <c:majorTickMark val="out"/>
        <c:minorTickMark val="none"/>
        <c:tickLblPos val="nextTo"/>
        <c:crossAx val="672970136"/>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44270584387813"/>
          <c:y val="2.4858757062146894E-2"/>
          <c:w val="0.84714588312243733"/>
          <c:h val="0.875554250633925"/>
        </c:manualLayout>
      </c:layout>
      <c:barChart>
        <c:barDir val="bar"/>
        <c:grouping val="clustered"/>
        <c:varyColors val="0"/>
        <c:ser>
          <c:idx val="2"/>
          <c:order val="0"/>
          <c:tx>
            <c:strRef>
              <c:f>Graphs!$F$64</c:f>
              <c:strCache>
                <c:ptCount val="1"/>
                <c:pt idx="0">
                  <c:v>Industry Average</c:v>
                </c:pt>
              </c:strCache>
            </c:strRef>
          </c:tx>
          <c:spPr>
            <a:solidFill>
              <a:schemeClr val="bg2">
                <a:lumMod val="5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Graphs!$C$65:$C$66</c:f>
              <c:strCache>
                <c:ptCount val="2"/>
                <c:pt idx="0">
                  <c:v>Devices</c:v>
                </c:pt>
                <c:pt idx="1">
                  <c:v>Doors OS</c:v>
                </c:pt>
              </c:strCache>
            </c:strRef>
          </c:cat>
          <c:val>
            <c:numRef>
              <c:f>Graphs!$F$73:$F$74</c:f>
              <c:numCache>
                <c:formatCode>0</c:formatCode>
                <c:ptCount val="2"/>
                <c:pt idx="0">
                  <c:v>7.5</c:v>
                </c:pt>
                <c:pt idx="1">
                  <c:v>6</c:v>
                </c:pt>
              </c:numCache>
            </c:numRef>
          </c:val>
          <c:extLst>
            <c:ext xmlns:c16="http://schemas.microsoft.com/office/drawing/2014/chart" uri="{C3380CC4-5D6E-409C-BE32-E72D297353CC}">
              <c16:uniqueId val="{00000001-8DCD-493F-96F1-48F5FD92011F}"/>
            </c:ext>
          </c:extLst>
        </c:ser>
        <c:ser>
          <c:idx val="0"/>
          <c:order val="1"/>
          <c:tx>
            <c:strRef>
              <c:f>Graphs!$D$64</c:f>
              <c:strCache>
                <c:ptCount val="1"/>
                <c:pt idx="0">
                  <c:v>Last Round</c:v>
                </c:pt>
              </c:strCache>
            </c:strRef>
          </c:tx>
          <c:spPr>
            <a:solidFill>
              <a:schemeClr val="bg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Graphs!$C$65:$C$66</c:f>
              <c:strCache>
                <c:ptCount val="2"/>
                <c:pt idx="0">
                  <c:v>Devices</c:v>
                </c:pt>
                <c:pt idx="1">
                  <c:v>Doors OS</c:v>
                </c:pt>
              </c:strCache>
            </c:strRef>
          </c:cat>
          <c:val>
            <c:numRef>
              <c:f>Graphs!$D$73:$D$74</c:f>
              <c:numCache>
                <c:formatCode>#,##0</c:formatCode>
                <c:ptCount val="2"/>
                <c:pt idx="0">
                  <c:v>6</c:v>
                </c:pt>
                <c:pt idx="1">
                  <c:v>8</c:v>
                </c:pt>
              </c:numCache>
            </c:numRef>
          </c:val>
          <c:extLst>
            <c:ext xmlns:c16="http://schemas.microsoft.com/office/drawing/2014/chart" uri="{C3380CC4-5D6E-409C-BE32-E72D297353CC}">
              <c16:uniqueId val="{00000003-8DCD-493F-96F1-48F5FD92011F}"/>
            </c:ext>
          </c:extLst>
        </c:ser>
        <c:ser>
          <c:idx val="1"/>
          <c:order val="2"/>
          <c:tx>
            <c:strRef>
              <c:f>Graphs!$E$64</c:f>
              <c:strCache>
                <c:ptCount val="1"/>
                <c:pt idx="0">
                  <c:v>This Round</c:v>
                </c:pt>
              </c:strCache>
            </c:strRef>
          </c:tx>
          <c:spPr>
            <a:solidFill>
              <a:schemeClr val="bg2">
                <a:lumMod val="60000"/>
                <a:lumOff val="4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Graphs!$C$65:$C$66</c:f>
              <c:strCache>
                <c:ptCount val="2"/>
                <c:pt idx="0">
                  <c:v>Devices</c:v>
                </c:pt>
                <c:pt idx="1">
                  <c:v>Doors OS</c:v>
                </c:pt>
              </c:strCache>
            </c:strRef>
          </c:cat>
          <c:val>
            <c:numRef>
              <c:f>Graphs!$E$73:$E$74</c:f>
              <c:numCache>
                <c:formatCode>#,##0</c:formatCode>
                <c:ptCount val="2"/>
                <c:pt idx="0">
                  <c:v>6</c:v>
                </c:pt>
                <c:pt idx="1">
                  <c:v>8</c:v>
                </c:pt>
              </c:numCache>
            </c:numRef>
          </c:val>
          <c:extLst>
            <c:ext xmlns:c16="http://schemas.microsoft.com/office/drawing/2014/chart" uri="{C3380CC4-5D6E-409C-BE32-E72D297353CC}">
              <c16:uniqueId val="{00000005-8DCD-493F-96F1-48F5FD92011F}"/>
            </c:ext>
          </c:extLst>
        </c:ser>
        <c:dLbls>
          <c:dLblPos val="outEnd"/>
          <c:showLegendKey val="0"/>
          <c:showVal val="1"/>
          <c:showCatName val="0"/>
          <c:showSerName val="0"/>
          <c:showPercent val="0"/>
          <c:showBubbleSize val="0"/>
        </c:dLbls>
        <c:gapWidth val="150"/>
        <c:axId val="668414016"/>
        <c:axId val="668415192"/>
      </c:barChart>
      <c:catAx>
        <c:axId val="668414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68415192"/>
        <c:crosses val="autoZero"/>
        <c:auto val="1"/>
        <c:lblAlgn val="ctr"/>
        <c:lblOffset val="100"/>
        <c:noMultiLvlLbl val="0"/>
      </c:catAx>
      <c:valAx>
        <c:axId val="668415192"/>
        <c:scaling>
          <c:orientation val="minMax"/>
          <c:max val="17"/>
        </c:scaling>
        <c:delete val="1"/>
        <c:axPos val="b"/>
        <c:numFmt formatCode="0" sourceLinked="1"/>
        <c:majorTickMark val="out"/>
        <c:minorTickMark val="none"/>
        <c:tickLblPos val="nextTo"/>
        <c:crossAx val="668414016"/>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2"/>
          <c:order val="0"/>
          <c:tx>
            <c:strRef>
              <c:f>Graphs!$F$59</c:f>
              <c:strCache>
                <c:ptCount val="1"/>
                <c:pt idx="0">
                  <c:v>Industry Average</c:v>
                </c:pt>
              </c:strCache>
            </c:strRef>
          </c:tx>
          <c:spPr>
            <a:solidFill>
              <a:schemeClr val="bg2">
                <a:lumMod val="5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Graphs!$F$60:$F$62</c:f>
              <c:numCache>
                <c:formatCode>General</c:formatCode>
                <c:ptCount val="3"/>
                <c:pt idx="0">
                  <c:v>5.75</c:v>
                </c:pt>
                <c:pt idx="1">
                  <c:v>5</c:v>
                </c:pt>
                <c:pt idx="2">
                  <c:v>6.3</c:v>
                </c:pt>
              </c:numCache>
            </c:numRef>
          </c:val>
          <c:extLst>
            <c:ext xmlns:c16="http://schemas.microsoft.com/office/drawing/2014/chart" uri="{C3380CC4-5D6E-409C-BE32-E72D297353CC}">
              <c16:uniqueId val="{00000000-961C-4E88-9C0E-CE2EC777B18D}"/>
            </c:ext>
          </c:extLst>
        </c:ser>
        <c:ser>
          <c:idx val="0"/>
          <c:order val="1"/>
          <c:tx>
            <c:strRef>
              <c:f>Graphs!$D$59</c:f>
              <c:strCache>
                <c:ptCount val="1"/>
                <c:pt idx="0">
                  <c:v>Last Round</c:v>
                </c:pt>
              </c:strCache>
            </c:strRef>
          </c:tx>
          <c:spPr>
            <a:solidFill>
              <a:schemeClr val="bg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Graphs!$D$60:$D$62</c:f>
              <c:numCache>
                <c:formatCode>General</c:formatCode>
                <c:ptCount val="3"/>
                <c:pt idx="0">
                  <c:v>5</c:v>
                </c:pt>
                <c:pt idx="1">
                  <c:v>4</c:v>
                </c:pt>
                <c:pt idx="2">
                  <c:v>7</c:v>
                </c:pt>
              </c:numCache>
            </c:numRef>
          </c:val>
          <c:extLst>
            <c:ext xmlns:c16="http://schemas.microsoft.com/office/drawing/2014/chart" uri="{C3380CC4-5D6E-409C-BE32-E72D297353CC}">
              <c16:uniqueId val="{00000001-961C-4E88-9C0E-CE2EC777B18D}"/>
            </c:ext>
          </c:extLst>
        </c:ser>
        <c:ser>
          <c:idx val="1"/>
          <c:order val="2"/>
          <c:tx>
            <c:strRef>
              <c:f>Graphs!$E$59</c:f>
              <c:strCache>
                <c:ptCount val="1"/>
                <c:pt idx="0">
                  <c:v>This Round</c:v>
                </c:pt>
              </c:strCache>
            </c:strRef>
          </c:tx>
          <c:spPr>
            <a:solidFill>
              <a:schemeClr val="bg2">
                <a:lumMod val="60000"/>
                <a:lumOff val="4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Graphs!$C$60:$C$62</c:f>
              <c:strCache>
                <c:ptCount val="3"/>
                <c:pt idx="0">
                  <c:v>Scalability</c:v>
                </c:pt>
                <c:pt idx="1">
                  <c:v>Interoperability</c:v>
                </c:pt>
                <c:pt idx="2">
                  <c:v>Security</c:v>
                </c:pt>
              </c:strCache>
            </c:strRef>
          </c:cat>
          <c:val>
            <c:numRef>
              <c:f>Graphs!$E$60:$E$62</c:f>
              <c:numCache>
                <c:formatCode>General</c:formatCode>
                <c:ptCount val="3"/>
                <c:pt idx="0">
                  <c:v>5</c:v>
                </c:pt>
                <c:pt idx="1">
                  <c:v>4</c:v>
                </c:pt>
                <c:pt idx="2">
                  <c:v>7</c:v>
                </c:pt>
              </c:numCache>
            </c:numRef>
          </c:val>
          <c:extLst>
            <c:ext xmlns:c16="http://schemas.microsoft.com/office/drawing/2014/chart" uri="{C3380CC4-5D6E-409C-BE32-E72D297353CC}">
              <c16:uniqueId val="{00000002-961C-4E88-9C0E-CE2EC777B18D}"/>
            </c:ext>
          </c:extLst>
        </c:ser>
        <c:dLbls>
          <c:dLblPos val="outEnd"/>
          <c:showLegendKey val="0"/>
          <c:showVal val="1"/>
          <c:showCatName val="0"/>
          <c:showSerName val="0"/>
          <c:showPercent val="0"/>
          <c:showBubbleSize val="0"/>
        </c:dLbls>
        <c:gapWidth val="150"/>
        <c:axId val="668415584"/>
        <c:axId val="40726872"/>
      </c:barChart>
      <c:catAx>
        <c:axId val="668415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40726872"/>
        <c:crosses val="autoZero"/>
        <c:auto val="1"/>
        <c:lblAlgn val="ctr"/>
        <c:lblOffset val="100"/>
        <c:noMultiLvlLbl val="0"/>
      </c:catAx>
      <c:valAx>
        <c:axId val="40726872"/>
        <c:scaling>
          <c:orientation val="minMax"/>
        </c:scaling>
        <c:delete val="1"/>
        <c:axPos val="b"/>
        <c:numFmt formatCode="General" sourceLinked="1"/>
        <c:majorTickMark val="none"/>
        <c:minorTickMark val="none"/>
        <c:tickLblPos val="nextTo"/>
        <c:crossAx val="668415584"/>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Graphs!$C$91</c:f>
              <c:strCache>
                <c:ptCount val="1"/>
                <c:pt idx="0">
                  <c:v>This Round</c:v>
                </c:pt>
              </c:strCache>
            </c:strRef>
          </c:tx>
          <c:spPr>
            <a:solidFill>
              <a:schemeClr val="bg2"/>
            </a:solidFill>
            <a:ln>
              <a:noFill/>
            </a:ln>
            <a:effectLst/>
          </c:spPr>
          <c:invertIfNegative val="0"/>
          <c:val>
            <c:numRef>
              <c:f>Graphs!$D$91</c:f>
              <c:numCache>
                <c:formatCode>General</c:formatCode>
                <c:ptCount val="1"/>
                <c:pt idx="0">
                  <c:v>98.429999999999993</c:v>
                </c:pt>
              </c:numCache>
            </c:numRef>
          </c:val>
          <c:extLst>
            <c:ext xmlns:c16="http://schemas.microsoft.com/office/drawing/2014/chart" uri="{C3380CC4-5D6E-409C-BE32-E72D297353CC}">
              <c16:uniqueId val="{00000003-E8A2-4D33-938C-4D000F58F0FF}"/>
            </c:ext>
          </c:extLst>
        </c:ser>
        <c:ser>
          <c:idx val="0"/>
          <c:order val="1"/>
          <c:tx>
            <c:strRef>
              <c:f>Graphs!$C$90</c:f>
              <c:strCache>
                <c:ptCount val="1"/>
                <c:pt idx="0">
                  <c:v>Last Round</c:v>
                </c:pt>
              </c:strCache>
            </c:strRef>
          </c:tx>
          <c:spPr>
            <a:solidFill>
              <a:schemeClr val="bg2">
                <a:lumMod val="60000"/>
                <a:lumOff val="40000"/>
              </a:schemeClr>
            </a:solidFill>
            <a:ln>
              <a:noFill/>
            </a:ln>
            <a:effectLst/>
          </c:spPr>
          <c:invertIfNegative val="0"/>
          <c:val>
            <c:numRef>
              <c:f>Graphs!$D$90</c:f>
              <c:numCache>
                <c:formatCode>General</c:formatCode>
                <c:ptCount val="1"/>
                <c:pt idx="0">
                  <c:v>100.785</c:v>
                </c:pt>
              </c:numCache>
            </c:numRef>
          </c:val>
          <c:extLst>
            <c:ext xmlns:c16="http://schemas.microsoft.com/office/drawing/2014/chart" uri="{C3380CC4-5D6E-409C-BE32-E72D297353CC}">
              <c16:uniqueId val="{00000005-E8A2-4D33-938C-4D000F58F0FF}"/>
            </c:ext>
          </c:extLst>
        </c:ser>
        <c:dLbls>
          <c:showLegendKey val="0"/>
          <c:showVal val="0"/>
          <c:showCatName val="0"/>
          <c:showSerName val="0"/>
          <c:showPercent val="0"/>
          <c:showBubbleSize val="0"/>
        </c:dLbls>
        <c:gapWidth val="97"/>
        <c:axId val="40724128"/>
        <c:axId val="40726480"/>
      </c:barChart>
      <c:catAx>
        <c:axId val="40724128"/>
        <c:scaling>
          <c:orientation val="minMax"/>
        </c:scaling>
        <c:delete val="1"/>
        <c:axPos val="l"/>
        <c:numFmt formatCode="General" sourceLinked="1"/>
        <c:majorTickMark val="none"/>
        <c:minorTickMark val="none"/>
        <c:tickLblPos val="nextTo"/>
        <c:crossAx val="40726480"/>
        <c:crosses val="autoZero"/>
        <c:auto val="1"/>
        <c:lblAlgn val="ctr"/>
        <c:lblOffset val="100"/>
        <c:noMultiLvlLbl val="0"/>
      </c:catAx>
      <c:valAx>
        <c:axId val="40726480"/>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4072412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Graphs!$C$95</c:f>
              <c:strCache>
                <c:ptCount val="1"/>
                <c:pt idx="0">
                  <c:v>This Round</c:v>
                </c:pt>
              </c:strCache>
            </c:strRef>
          </c:tx>
          <c:spPr>
            <a:solidFill>
              <a:schemeClr val="bg2"/>
            </a:solidFill>
            <a:ln>
              <a:noFill/>
            </a:ln>
            <a:effectLst/>
          </c:spPr>
          <c:invertIfNegative val="0"/>
          <c:val>
            <c:numRef>
              <c:f>Graphs!$D$95</c:f>
              <c:numCache>
                <c:formatCode>General</c:formatCode>
                <c:ptCount val="1"/>
                <c:pt idx="0">
                  <c:v>91.679999999999993</c:v>
                </c:pt>
              </c:numCache>
            </c:numRef>
          </c:val>
          <c:extLst>
            <c:ext xmlns:c16="http://schemas.microsoft.com/office/drawing/2014/chart" uri="{C3380CC4-5D6E-409C-BE32-E72D297353CC}">
              <c16:uniqueId val="{00000001-5075-4CC1-824F-140DD5C633EC}"/>
            </c:ext>
          </c:extLst>
        </c:ser>
        <c:ser>
          <c:idx val="0"/>
          <c:order val="1"/>
          <c:tx>
            <c:strRef>
              <c:f>Graphs!$C$94</c:f>
              <c:strCache>
                <c:ptCount val="1"/>
                <c:pt idx="0">
                  <c:v>Last Round</c:v>
                </c:pt>
              </c:strCache>
            </c:strRef>
          </c:tx>
          <c:spPr>
            <a:solidFill>
              <a:schemeClr val="bg2">
                <a:lumMod val="60000"/>
                <a:lumOff val="40000"/>
              </a:schemeClr>
            </a:solidFill>
            <a:ln>
              <a:noFill/>
            </a:ln>
            <a:effectLst/>
          </c:spPr>
          <c:invertIfNegative val="0"/>
          <c:val>
            <c:numRef>
              <c:f>Graphs!$D$94</c:f>
              <c:numCache>
                <c:formatCode>General</c:formatCode>
                <c:ptCount val="1"/>
                <c:pt idx="0">
                  <c:v>97.41</c:v>
                </c:pt>
              </c:numCache>
            </c:numRef>
          </c:val>
          <c:extLst>
            <c:ext xmlns:c16="http://schemas.microsoft.com/office/drawing/2014/chart" uri="{C3380CC4-5D6E-409C-BE32-E72D297353CC}">
              <c16:uniqueId val="{00000003-5075-4CC1-824F-140DD5C633EC}"/>
            </c:ext>
          </c:extLst>
        </c:ser>
        <c:dLbls>
          <c:showLegendKey val="0"/>
          <c:showVal val="0"/>
          <c:showCatName val="0"/>
          <c:showSerName val="0"/>
          <c:showPercent val="0"/>
          <c:showBubbleSize val="0"/>
        </c:dLbls>
        <c:gapWidth val="97"/>
        <c:axId val="40723736"/>
        <c:axId val="40725304"/>
      </c:barChart>
      <c:catAx>
        <c:axId val="40723736"/>
        <c:scaling>
          <c:orientation val="minMax"/>
        </c:scaling>
        <c:delete val="1"/>
        <c:axPos val="l"/>
        <c:numFmt formatCode="General" sourceLinked="1"/>
        <c:majorTickMark val="none"/>
        <c:minorTickMark val="none"/>
        <c:tickLblPos val="nextTo"/>
        <c:crossAx val="40725304"/>
        <c:crosses val="autoZero"/>
        <c:auto val="1"/>
        <c:lblAlgn val="ctr"/>
        <c:lblOffset val="100"/>
        <c:noMultiLvlLbl val="0"/>
      </c:catAx>
      <c:valAx>
        <c:axId val="40725304"/>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40723736"/>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Graphs!$C$99</c:f>
              <c:strCache>
                <c:ptCount val="1"/>
                <c:pt idx="0">
                  <c:v>This Round</c:v>
                </c:pt>
              </c:strCache>
            </c:strRef>
          </c:tx>
          <c:spPr>
            <a:solidFill>
              <a:schemeClr val="bg2"/>
            </a:solidFill>
            <a:ln>
              <a:noFill/>
            </a:ln>
            <a:effectLst/>
          </c:spPr>
          <c:invertIfNegative val="0"/>
          <c:val>
            <c:numRef>
              <c:f>Graphs!$D$99</c:f>
              <c:numCache>
                <c:formatCode>General</c:formatCode>
                <c:ptCount val="1"/>
                <c:pt idx="0">
                  <c:v>93.929999999999993</c:v>
                </c:pt>
              </c:numCache>
            </c:numRef>
          </c:val>
          <c:extLst>
            <c:ext xmlns:c16="http://schemas.microsoft.com/office/drawing/2014/chart" uri="{C3380CC4-5D6E-409C-BE32-E72D297353CC}">
              <c16:uniqueId val="{00000001-F2F4-4EED-8270-56FDD95AC61C}"/>
            </c:ext>
          </c:extLst>
        </c:ser>
        <c:ser>
          <c:idx val="0"/>
          <c:order val="1"/>
          <c:tx>
            <c:strRef>
              <c:f>Graphs!$C$98</c:f>
              <c:strCache>
                <c:ptCount val="1"/>
                <c:pt idx="0">
                  <c:v>Last Round</c:v>
                </c:pt>
              </c:strCache>
            </c:strRef>
          </c:tx>
          <c:spPr>
            <a:solidFill>
              <a:schemeClr val="bg2">
                <a:lumMod val="60000"/>
                <a:lumOff val="40000"/>
              </a:schemeClr>
            </a:solidFill>
            <a:ln>
              <a:noFill/>
            </a:ln>
            <a:effectLst/>
          </c:spPr>
          <c:invertIfNegative val="0"/>
          <c:val>
            <c:numRef>
              <c:f>Graphs!$D$98</c:f>
              <c:numCache>
                <c:formatCode>General</c:formatCode>
                <c:ptCount val="1"/>
                <c:pt idx="0">
                  <c:v>98.534999999999997</c:v>
                </c:pt>
              </c:numCache>
            </c:numRef>
          </c:val>
          <c:extLst>
            <c:ext xmlns:c16="http://schemas.microsoft.com/office/drawing/2014/chart" uri="{C3380CC4-5D6E-409C-BE32-E72D297353CC}">
              <c16:uniqueId val="{00000003-F2F4-4EED-8270-56FDD95AC61C}"/>
            </c:ext>
          </c:extLst>
        </c:ser>
        <c:dLbls>
          <c:showLegendKey val="0"/>
          <c:showVal val="0"/>
          <c:showCatName val="0"/>
          <c:showSerName val="0"/>
          <c:showPercent val="0"/>
          <c:showBubbleSize val="0"/>
        </c:dLbls>
        <c:gapWidth val="97"/>
        <c:axId val="40724912"/>
        <c:axId val="40726088"/>
      </c:barChart>
      <c:catAx>
        <c:axId val="40724912"/>
        <c:scaling>
          <c:orientation val="minMax"/>
        </c:scaling>
        <c:delete val="1"/>
        <c:axPos val="l"/>
        <c:numFmt formatCode="General" sourceLinked="1"/>
        <c:majorTickMark val="none"/>
        <c:minorTickMark val="none"/>
        <c:tickLblPos val="nextTo"/>
        <c:crossAx val="40726088"/>
        <c:crosses val="autoZero"/>
        <c:auto val="1"/>
        <c:lblAlgn val="ctr"/>
        <c:lblOffset val="100"/>
        <c:noMultiLvlLbl val="0"/>
      </c:catAx>
      <c:valAx>
        <c:axId val="40726088"/>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40724912"/>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Graphs!$C$103</c:f>
              <c:strCache>
                <c:ptCount val="1"/>
                <c:pt idx="0">
                  <c:v>This Round</c:v>
                </c:pt>
              </c:strCache>
            </c:strRef>
          </c:tx>
          <c:spPr>
            <a:solidFill>
              <a:schemeClr val="bg2"/>
            </a:solidFill>
            <a:ln>
              <a:noFill/>
            </a:ln>
            <a:effectLst/>
          </c:spPr>
          <c:invertIfNegative val="0"/>
          <c:val>
            <c:numRef>
              <c:f>Graphs!$D$103</c:f>
              <c:numCache>
                <c:formatCode>General</c:formatCode>
                <c:ptCount val="1"/>
                <c:pt idx="0">
                  <c:v>96.179999999999993</c:v>
                </c:pt>
              </c:numCache>
            </c:numRef>
          </c:val>
          <c:extLst>
            <c:ext xmlns:c16="http://schemas.microsoft.com/office/drawing/2014/chart" uri="{C3380CC4-5D6E-409C-BE32-E72D297353CC}">
              <c16:uniqueId val="{00000001-D63E-4BDA-934A-F0E2A72F289F}"/>
            </c:ext>
          </c:extLst>
        </c:ser>
        <c:ser>
          <c:idx val="0"/>
          <c:order val="1"/>
          <c:tx>
            <c:strRef>
              <c:f>Graphs!$C$102</c:f>
              <c:strCache>
                <c:ptCount val="1"/>
                <c:pt idx="0">
                  <c:v>Last Round</c:v>
                </c:pt>
              </c:strCache>
            </c:strRef>
          </c:tx>
          <c:spPr>
            <a:solidFill>
              <a:schemeClr val="bg2">
                <a:lumMod val="60000"/>
                <a:lumOff val="40000"/>
              </a:schemeClr>
            </a:solidFill>
            <a:ln>
              <a:noFill/>
            </a:ln>
            <a:effectLst/>
          </c:spPr>
          <c:invertIfNegative val="0"/>
          <c:val>
            <c:numRef>
              <c:f>Graphs!$D$102</c:f>
              <c:numCache>
                <c:formatCode>General</c:formatCode>
                <c:ptCount val="1"/>
                <c:pt idx="0">
                  <c:v>99.66</c:v>
                </c:pt>
              </c:numCache>
            </c:numRef>
          </c:val>
          <c:extLst>
            <c:ext xmlns:c16="http://schemas.microsoft.com/office/drawing/2014/chart" uri="{C3380CC4-5D6E-409C-BE32-E72D297353CC}">
              <c16:uniqueId val="{00000003-D63E-4BDA-934A-F0E2A72F289F}"/>
            </c:ext>
          </c:extLst>
        </c:ser>
        <c:dLbls>
          <c:showLegendKey val="0"/>
          <c:showVal val="0"/>
          <c:showCatName val="0"/>
          <c:showSerName val="0"/>
          <c:showPercent val="0"/>
          <c:showBubbleSize val="0"/>
        </c:dLbls>
        <c:gapWidth val="97"/>
        <c:axId val="864818384"/>
        <c:axId val="864814464"/>
      </c:barChart>
      <c:catAx>
        <c:axId val="864818384"/>
        <c:scaling>
          <c:orientation val="minMax"/>
        </c:scaling>
        <c:delete val="1"/>
        <c:axPos val="l"/>
        <c:numFmt formatCode="General" sourceLinked="1"/>
        <c:majorTickMark val="none"/>
        <c:minorTickMark val="none"/>
        <c:tickLblPos val="nextTo"/>
        <c:crossAx val="864814464"/>
        <c:crosses val="autoZero"/>
        <c:auto val="1"/>
        <c:lblAlgn val="ctr"/>
        <c:lblOffset val="100"/>
        <c:noMultiLvlLbl val="0"/>
      </c:catAx>
      <c:valAx>
        <c:axId val="864814464"/>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864818384"/>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8.7962962962962965E-2"/>
          <c:w val="0.93888888888888888"/>
          <c:h val="0.7182978159840111"/>
        </c:manualLayout>
      </c:layout>
      <c:barChart>
        <c:barDir val="col"/>
        <c:grouping val="stacked"/>
        <c:varyColors val="0"/>
        <c:ser>
          <c:idx val="0"/>
          <c:order val="0"/>
          <c:tx>
            <c:strRef>
              <c:f>Graphs!$C$78</c:f>
              <c:strCache>
                <c:ptCount val="1"/>
                <c:pt idx="0">
                  <c:v>Opening</c:v>
                </c:pt>
              </c:strCache>
            </c:strRef>
          </c:tx>
          <c:spPr>
            <a:solidFill>
              <a:schemeClr val="accent1"/>
            </a:solidFill>
            <a:ln>
              <a:noFill/>
            </a:ln>
            <a:effectLst/>
          </c:spPr>
          <c:invertIfNegative val="0"/>
          <c:val>
            <c:numRef>
              <c:f>Graphs!$D$78</c:f>
              <c:numCache>
                <c:formatCode>General</c:formatCode>
                <c:ptCount val="1"/>
                <c:pt idx="0">
                  <c:v>100</c:v>
                </c:pt>
              </c:numCache>
            </c:numRef>
          </c:val>
          <c:extLst>
            <c:ext xmlns:c16="http://schemas.microsoft.com/office/drawing/2014/chart" uri="{C3380CC4-5D6E-409C-BE32-E72D297353CC}">
              <c16:uniqueId val="{00000000-654D-4D0B-86EA-49CD47D7BF2D}"/>
            </c:ext>
          </c:extLst>
        </c:ser>
        <c:ser>
          <c:idx val="2"/>
          <c:order val="1"/>
          <c:tx>
            <c:strRef>
              <c:f>Graphs!$C$79</c:f>
              <c:strCache>
                <c:ptCount val="1"/>
                <c:pt idx="0">
                  <c:v>Software Engineering FTEs</c:v>
                </c:pt>
              </c:strCache>
            </c:strRef>
          </c:tx>
          <c:spPr>
            <a:solidFill>
              <a:schemeClr val="accent2"/>
            </a:solidFill>
            <a:ln>
              <a:noFill/>
            </a:ln>
            <a:effectLst/>
          </c:spPr>
          <c:invertIfNegative val="0"/>
          <c:val>
            <c:numRef>
              <c:f>Graphs!$D$79</c:f>
              <c:numCache>
                <c:formatCode>General</c:formatCode>
                <c:ptCount val="1"/>
                <c:pt idx="0">
                  <c:v>0</c:v>
                </c:pt>
              </c:numCache>
            </c:numRef>
          </c:val>
          <c:extLst>
            <c:ext xmlns:c16="http://schemas.microsoft.com/office/drawing/2014/chart" uri="{C3380CC4-5D6E-409C-BE32-E72D297353CC}">
              <c16:uniqueId val="{00000002-654D-4D0B-86EA-49CD47D7BF2D}"/>
            </c:ext>
          </c:extLst>
        </c:ser>
        <c:ser>
          <c:idx val="3"/>
          <c:order val="2"/>
          <c:tx>
            <c:strRef>
              <c:f>Graphs!$C$80</c:f>
              <c:strCache>
                <c:ptCount val="1"/>
                <c:pt idx="0">
                  <c:v>Supply Chain FTEs</c:v>
                </c:pt>
              </c:strCache>
            </c:strRef>
          </c:tx>
          <c:spPr>
            <a:solidFill>
              <a:schemeClr val="bg2">
                <a:lumMod val="60000"/>
                <a:lumOff val="40000"/>
              </a:schemeClr>
            </a:solidFill>
            <a:ln>
              <a:noFill/>
            </a:ln>
            <a:effectLst/>
          </c:spPr>
          <c:invertIfNegative val="0"/>
          <c:val>
            <c:numRef>
              <c:f>Graphs!$D$80</c:f>
              <c:numCache>
                <c:formatCode>General</c:formatCode>
                <c:ptCount val="1"/>
                <c:pt idx="0">
                  <c:v>0</c:v>
                </c:pt>
              </c:numCache>
            </c:numRef>
          </c:val>
          <c:extLst>
            <c:ext xmlns:c16="http://schemas.microsoft.com/office/drawing/2014/chart" uri="{C3380CC4-5D6E-409C-BE32-E72D297353CC}">
              <c16:uniqueId val="{00000003-654D-4D0B-86EA-49CD47D7BF2D}"/>
            </c:ext>
          </c:extLst>
        </c:ser>
        <c:ser>
          <c:idx val="4"/>
          <c:order val="3"/>
          <c:tx>
            <c:strRef>
              <c:f>Graphs!$C$81</c:f>
              <c:strCache>
                <c:ptCount val="1"/>
                <c:pt idx="0">
                  <c:v>Azul Infrastructure</c:v>
                </c:pt>
              </c:strCache>
            </c:strRef>
          </c:tx>
          <c:spPr>
            <a:solidFill>
              <a:schemeClr val="accent5"/>
            </a:solidFill>
            <a:ln>
              <a:noFill/>
            </a:ln>
            <a:effectLst/>
          </c:spPr>
          <c:invertIfNegative val="0"/>
          <c:val>
            <c:numRef>
              <c:f>Graphs!$D$81</c:f>
              <c:numCache>
                <c:formatCode>General</c:formatCode>
                <c:ptCount val="1"/>
                <c:pt idx="0">
                  <c:v>0</c:v>
                </c:pt>
              </c:numCache>
            </c:numRef>
          </c:val>
          <c:extLst>
            <c:ext xmlns:c16="http://schemas.microsoft.com/office/drawing/2014/chart" uri="{C3380CC4-5D6E-409C-BE32-E72D297353CC}">
              <c16:uniqueId val="{00000004-654D-4D0B-86EA-49CD47D7BF2D}"/>
            </c:ext>
          </c:extLst>
        </c:ser>
        <c:dLbls>
          <c:showLegendKey val="0"/>
          <c:showVal val="0"/>
          <c:showCatName val="0"/>
          <c:showSerName val="0"/>
          <c:showPercent val="0"/>
          <c:showBubbleSize val="0"/>
        </c:dLbls>
        <c:gapWidth val="150"/>
        <c:overlap val="100"/>
        <c:axId val="864812896"/>
        <c:axId val="864816424"/>
      </c:barChart>
      <c:barChart>
        <c:barDir val="col"/>
        <c:grouping val="stacked"/>
        <c:varyColors val="0"/>
        <c:ser>
          <c:idx val="5"/>
          <c:order val="4"/>
          <c:tx>
            <c:strRef>
              <c:f>Graphs!$C$82</c:f>
              <c:strCache>
                <c:ptCount val="1"/>
                <c:pt idx="0">
                  <c:v>Ending Internal Readiness</c:v>
                </c:pt>
              </c:strCache>
            </c:strRef>
          </c:tx>
          <c:spPr>
            <a:noFill/>
            <a:ln>
              <a:noFill/>
            </a:ln>
            <a:effectLst/>
          </c:spPr>
          <c:invertIfNegative val="0"/>
          <c:val>
            <c:numRef>
              <c:f>Graphs!$D$82</c:f>
              <c:numCache>
                <c:formatCode>General</c:formatCode>
                <c:ptCount val="1"/>
                <c:pt idx="0">
                  <c:v>100.785</c:v>
                </c:pt>
              </c:numCache>
            </c:numRef>
          </c:val>
          <c:extLst>
            <c:ext xmlns:c16="http://schemas.microsoft.com/office/drawing/2014/chart" uri="{C3380CC4-5D6E-409C-BE32-E72D297353CC}">
              <c16:uniqueId val="{00000005-654D-4D0B-86EA-49CD47D7BF2D}"/>
            </c:ext>
          </c:extLst>
        </c:ser>
        <c:dLbls>
          <c:showLegendKey val="0"/>
          <c:showVal val="0"/>
          <c:showCatName val="0"/>
          <c:showSerName val="0"/>
          <c:showPercent val="0"/>
          <c:showBubbleSize val="0"/>
        </c:dLbls>
        <c:gapWidth val="150"/>
        <c:overlap val="100"/>
        <c:axId val="864814072"/>
        <c:axId val="864813680"/>
      </c:barChart>
      <c:catAx>
        <c:axId val="864812896"/>
        <c:scaling>
          <c:orientation val="minMax"/>
        </c:scaling>
        <c:delete val="0"/>
        <c:axPos val="b"/>
        <c:numFmt formatCode="General" sourceLinked="1"/>
        <c:majorTickMark val="out"/>
        <c:minorTickMark val="none"/>
        <c:tickLblPos val="none"/>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864816424"/>
        <c:crosses val="autoZero"/>
        <c:auto val="1"/>
        <c:lblAlgn val="ctr"/>
        <c:lblOffset val="100"/>
        <c:noMultiLvlLbl val="0"/>
      </c:catAx>
      <c:valAx>
        <c:axId val="864816424"/>
        <c:scaling>
          <c:orientation val="minMax"/>
          <c:max val="115"/>
        </c:scaling>
        <c:delete val="0"/>
        <c:axPos val="l"/>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864812896"/>
        <c:crosses val="autoZero"/>
        <c:crossBetween val="between"/>
      </c:valAx>
      <c:valAx>
        <c:axId val="864813680"/>
        <c:scaling>
          <c:orientation val="minMax"/>
          <c:max val="0"/>
          <c:min val="-500"/>
        </c:scaling>
        <c:delete val="0"/>
        <c:axPos val="r"/>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864814072"/>
        <c:crosses val="max"/>
        <c:crossBetween val="between"/>
      </c:valAx>
      <c:catAx>
        <c:axId val="864814072"/>
        <c:scaling>
          <c:orientation val="minMax"/>
        </c:scaling>
        <c:delete val="1"/>
        <c:axPos val="b"/>
        <c:majorTickMark val="out"/>
        <c:minorTickMark val="none"/>
        <c:tickLblPos val="nextTo"/>
        <c:crossAx val="864813680"/>
        <c:crosses val="autoZero"/>
        <c:auto val="1"/>
        <c:lblAlgn val="ctr"/>
        <c:lblOffset val="100"/>
        <c:noMultiLvlLbl val="0"/>
      </c:cat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09-49B0-B5F3-DEF6868B81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09-49B0-B5F3-DEF6868B81F5}"/>
              </c:ext>
            </c:extLst>
          </c:dPt>
          <c:dLbls>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Graphs!$C$84:$C$85</c:f>
              <c:strCache>
                <c:ptCount val="2"/>
                <c:pt idx="0">
                  <c:v>Utilized</c:v>
                </c:pt>
                <c:pt idx="1">
                  <c:v>Available</c:v>
                </c:pt>
              </c:strCache>
            </c:strRef>
          </c:cat>
          <c:val>
            <c:numRef>
              <c:f>Graphs!$D$84:$D$85</c:f>
              <c:numCache>
                <c:formatCode>0%</c:formatCode>
                <c:ptCount val="2"/>
                <c:pt idx="0">
                  <c:v>0.66308959442397486</c:v>
                </c:pt>
                <c:pt idx="1">
                  <c:v>0.33691040557602514</c:v>
                </c:pt>
              </c:numCache>
            </c:numRef>
          </c:val>
          <c:extLst>
            <c:ext xmlns:c16="http://schemas.microsoft.com/office/drawing/2014/chart" uri="{C3380CC4-5D6E-409C-BE32-E72D297353CC}">
              <c16:uniqueId val="{00000004-6409-49B0-B5F3-DEF6868B81F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Graphs!$C$91</c:f>
              <c:strCache>
                <c:ptCount val="1"/>
                <c:pt idx="0">
                  <c:v>This Round</c:v>
                </c:pt>
              </c:strCache>
            </c:strRef>
          </c:tx>
          <c:spPr>
            <a:solidFill>
              <a:schemeClr val="accent1"/>
            </a:solidFill>
            <a:ln>
              <a:noFill/>
            </a:ln>
            <a:effectLst/>
          </c:spPr>
          <c:invertIfNegative val="0"/>
          <c:val>
            <c:numRef>
              <c:f>Graphs!$D$91</c:f>
              <c:numCache>
                <c:formatCode>General</c:formatCode>
                <c:ptCount val="1"/>
                <c:pt idx="0">
                  <c:v>98.429999999999993</c:v>
                </c:pt>
              </c:numCache>
            </c:numRef>
          </c:val>
          <c:extLst>
            <c:ext xmlns:c16="http://schemas.microsoft.com/office/drawing/2014/chart" uri="{C3380CC4-5D6E-409C-BE32-E72D297353CC}">
              <c16:uniqueId val="{00000003-A1BE-480F-9860-C6F1ECECDF84}"/>
            </c:ext>
          </c:extLst>
        </c:ser>
        <c:ser>
          <c:idx val="0"/>
          <c:order val="1"/>
          <c:tx>
            <c:strRef>
              <c:f>Graphs!$C$90</c:f>
              <c:strCache>
                <c:ptCount val="1"/>
                <c:pt idx="0">
                  <c:v>Last Round</c:v>
                </c:pt>
              </c:strCache>
            </c:strRef>
          </c:tx>
          <c:spPr>
            <a:solidFill>
              <a:schemeClr val="accent1">
                <a:lumMod val="40000"/>
                <a:lumOff val="60000"/>
              </a:schemeClr>
            </a:solidFill>
            <a:ln>
              <a:noFill/>
            </a:ln>
            <a:effectLst/>
          </c:spPr>
          <c:invertIfNegative val="0"/>
          <c:val>
            <c:numRef>
              <c:f>Graphs!$D$90</c:f>
              <c:numCache>
                <c:formatCode>General</c:formatCode>
                <c:ptCount val="1"/>
                <c:pt idx="0">
                  <c:v>100.785</c:v>
                </c:pt>
              </c:numCache>
            </c:numRef>
          </c:val>
          <c:extLst>
            <c:ext xmlns:c16="http://schemas.microsoft.com/office/drawing/2014/chart" uri="{C3380CC4-5D6E-409C-BE32-E72D297353CC}">
              <c16:uniqueId val="{00000005-A1BE-480F-9860-C6F1ECECDF84}"/>
            </c:ext>
          </c:extLst>
        </c:ser>
        <c:dLbls>
          <c:showLegendKey val="0"/>
          <c:showVal val="0"/>
          <c:showCatName val="0"/>
          <c:showSerName val="0"/>
          <c:showPercent val="0"/>
          <c:showBubbleSize val="0"/>
        </c:dLbls>
        <c:gapWidth val="97"/>
        <c:axId val="864811328"/>
        <c:axId val="864816816"/>
      </c:barChart>
      <c:catAx>
        <c:axId val="864811328"/>
        <c:scaling>
          <c:orientation val="minMax"/>
        </c:scaling>
        <c:delete val="1"/>
        <c:axPos val="l"/>
        <c:numFmt formatCode="General" sourceLinked="1"/>
        <c:majorTickMark val="none"/>
        <c:minorTickMark val="none"/>
        <c:tickLblPos val="nextTo"/>
        <c:crossAx val="864816816"/>
        <c:crosses val="autoZero"/>
        <c:auto val="1"/>
        <c:lblAlgn val="ctr"/>
        <c:lblOffset val="100"/>
        <c:noMultiLvlLbl val="0"/>
      </c:catAx>
      <c:valAx>
        <c:axId val="864816816"/>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86481132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Graphs!$C$95</c:f>
              <c:strCache>
                <c:ptCount val="1"/>
                <c:pt idx="0">
                  <c:v>This Round</c:v>
                </c:pt>
              </c:strCache>
            </c:strRef>
          </c:tx>
          <c:spPr>
            <a:solidFill>
              <a:schemeClr val="accent1"/>
            </a:solidFill>
            <a:ln>
              <a:noFill/>
            </a:ln>
            <a:effectLst/>
          </c:spPr>
          <c:invertIfNegative val="0"/>
          <c:val>
            <c:numRef>
              <c:f>Graphs!$D$95</c:f>
              <c:numCache>
                <c:formatCode>General</c:formatCode>
                <c:ptCount val="1"/>
                <c:pt idx="0">
                  <c:v>91.679999999999993</c:v>
                </c:pt>
              </c:numCache>
            </c:numRef>
          </c:val>
          <c:extLst>
            <c:ext xmlns:c16="http://schemas.microsoft.com/office/drawing/2014/chart" uri="{C3380CC4-5D6E-409C-BE32-E72D297353CC}">
              <c16:uniqueId val="{00000001-D6D9-47E7-9628-676E3A6240E6}"/>
            </c:ext>
          </c:extLst>
        </c:ser>
        <c:ser>
          <c:idx val="0"/>
          <c:order val="1"/>
          <c:tx>
            <c:strRef>
              <c:f>Graphs!$C$94</c:f>
              <c:strCache>
                <c:ptCount val="1"/>
                <c:pt idx="0">
                  <c:v>Last Round</c:v>
                </c:pt>
              </c:strCache>
            </c:strRef>
          </c:tx>
          <c:spPr>
            <a:solidFill>
              <a:schemeClr val="accent1">
                <a:lumMod val="40000"/>
                <a:lumOff val="60000"/>
              </a:schemeClr>
            </a:solidFill>
            <a:ln>
              <a:noFill/>
            </a:ln>
            <a:effectLst/>
          </c:spPr>
          <c:invertIfNegative val="0"/>
          <c:val>
            <c:numRef>
              <c:f>Graphs!$D$94</c:f>
              <c:numCache>
                <c:formatCode>General</c:formatCode>
                <c:ptCount val="1"/>
                <c:pt idx="0">
                  <c:v>97.41</c:v>
                </c:pt>
              </c:numCache>
            </c:numRef>
          </c:val>
          <c:extLst>
            <c:ext xmlns:c16="http://schemas.microsoft.com/office/drawing/2014/chart" uri="{C3380CC4-5D6E-409C-BE32-E72D297353CC}">
              <c16:uniqueId val="{00000003-D6D9-47E7-9628-676E3A6240E6}"/>
            </c:ext>
          </c:extLst>
        </c:ser>
        <c:dLbls>
          <c:showLegendKey val="0"/>
          <c:showVal val="0"/>
          <c:showCatName val="0"/>
          <c:showSerName val="0"/>
          <c:showPercent val="0"/>
          <c:showBubbleSize val="0"/>
        </c:dLbls>
        <c:gapWidth val="97"/>
        <c:axId val="864815248"/>
        <c:axId val="864818776"/>
      </c:barChart>
      <c:catAx>
        <c:axId val="864815248"/>
        <c:scaling>
          <c:orientation val="minMax"/>
        </c:scaling>
        <c:delete val="1"/>
        <c:axPos val="l"/>
        <c:numFmt formatCode="General" sourceLinked="1"/>
        <c:majorTickMark val="none"/>
        <c:minorTickMark val="none"/>
        <c:tickLblPos val="nextTo"/>
        <c:crossAx val="864818776"/>
        <c:crosses val="autoZero"/>
        <c:auto val="1"/>
        <c:lblAlgn val="ctr"/>
        <c:lblOffset val="100"/>
        <c:noMultiLvlLbl val="0"/>
      </c:catAx>
      <c:valAx>
        <c:axId val="864818776"/>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86481524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Graphs!$C$99</c:f>
              <c:strCache>
                <c:ptCount val="1"/>
                <c:pt idx="0">
                  <c:v>This Round</c:v>
                </c:pt>
              </c:strCache>
            </c:strRef>
          </c:tx>
          <c:spPr>
            <a:solidFill>
              <a:schemeClr val="accent1"/>
            </a:solidFill>
            <a:ln>
              <a:noFill/>
            </a:ln>
            <a:effectLst/>
          </c:spPr>
          <c:invertIfNegative val="0"/>
          <c:val>
            <c:numRef>
              <c:f>Graphs!$D$99</c:f>
              <c:numCache>
                <c:formatCode>General</c:formatCode>
                <c:ptCount val="1"/>
                <c:pt idx="0">
                  <c:v>93.929999999999993</c:v>
                </c:pt>
              </c:numCache>
            </c:numRef>
          </c:val>
          <c:extLst>
            <c:ext xmlns:c16="http://schemas.microsoft.com/office/drawing/2014/chart" uri="{C3380CC4-5D6E-409C-BE32-E72D297353CC}">
              <c16:uniqueId val="{00000001-E735-4888-9DCA-1DE9DFC8D8AD}"/>
            </c:ext>
          </c:extLst>
        </c:ser>
        <c:ser>
          <c:idx val="0"/>
          <c:order val="1"/>
          <c:tx>
            <c:strRef>
              <c:f>Graphs!$C$98</c:f>
              <c:strCache>
                <c:ptCount val="1"/>
                <c:pt idx="0">
                  <c:v>Last Round</c:v>
                </c:pt>
              </c:strCache>
            </c:strRef>
          </c:tx>
          <c:spPr>
            <a:solidFill>
              <a:schemeClr val="accent1">
                <a:lumMod val="40000"/>
                <a:lumOff val="60000"/>
              </a:schemeClr>
            </a:solidFill>
            <a:ln>
              <a:noFill/>
            </a:ln>
            <a:effectLst/>
          </c:spPr>
          <c:invertIfNegative val="0"/>
          <c:val>
            <c:numRef>
              <c:f>Graphs!$D$98</c:f>
              <c:numCache>
                <c:formatCode>General</c:formatCode>
                <c:ptCount val="1"/>
                <c:pt idx="0">
                  <c:v>98.534999999999997</c:v>
                </c:pt>
              </c:numCache>
            </c:numRef>
          </c:val>
          <c:extLst>
            <c:ext xmlns:c16="http://schemas.microsoft.com/office/drawing/2014/chart" uri="{C3380CC4-5D6E-409C-BE32-E72D297353CC}">
              <c16:uniqueId val="{00000003-E735-4888-9DCA-1DE9DFC8D8AD}"/>
            </c:ext>
          </c:extLst>
        </c:ser>
        <c:dLbls>
          <c:showLegendKey val="0"/>
          <c:showVal val="0"/>
          <c:showCatName val="0"/>
          <c:showSerName val="0"/>
          <c:showPercent val="0"/>
          <c:showBubbleSize val="0"/>
        </c:dLbls>
        <c:gapWidth val="97"/>
        <c:axId val="771827552"/>
        <c:axId val="771830296"/>
      </c:barChart>
      <c:catAx>
        <c:axId val="771827552"/>
        <c:scaling>
          <c:orientation val="minMax"/>
        </c:scaling>
        <c:delete val="1"/>
        <c:axPos val="l"/>
        <c:numFmt formatCode="General" sourceLinked="1"/>
        <c:majorTickMark val="none"/>
        <c:minorTickMark val="none"/>
        <c:tickLblPos val="nextTo"/>
        <c:crossAx val="771830296"/>
        <c:crosses val="autoZero"/>
        <c:auto val="1"/>
        <c:lblAlgn val="ctr"/>
        <c:lblOffset val="100"/>
        <c:noMultiLvlLbl val="0"/>
      </c:catAx>
      <c:valAx>
        <c:axId val="771830296"/>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771827552"/>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Graphs!$C$103</c:f>
              <c:strCache>
                <c:ptCount val="1"/>
                <c:pt idx="0">
                  <c:v>This Round</c:v>
                </c:pt>
              </c:strCache>
            </c:strRef>
          </c:tx>
          <c:spPr>
            <a:solidFill>
              <a:schemeClr val="accent1"/>
            </a:solidFill>
            <a:ln>
              <a:noFill/>
            </a:ln>
            <a:effectLst/>
          </c:spPr>
          <c:invertIfNegative val="0"/>
          <c:val>
            <c:numRef>
              <c:f>Graphs!$D$103</c:f>
              <c:numCache>
                <c:formatCode>General</c:formatCode>
                <c:ptCount val="1"/>
                <c:pt idx="0">
                  <c:v>96.179999999999993</c:v>
                </c:pt>
              </c:numCache>
            </c:numRef>
          </c:val>
          <c:extLst>
            <c:ext xmlns:c16="http://schemas.microsoft.com/office/drawing/2014/chart" uri="{C3380CC4-5D6E-409C-BE32-E72D297353CC}">
              <c16:uniqueId val="{00000001-2460-46F2-B267-0616E1C129D4}"/>
            </c:ext>
          </c:extLst>
        </c:ser>
        <c:ser>
          <c:idx val="0"/>
          <c:order val="1"/>
          <c:tx>
            <c:strRef>
              <c:f>Graphs!$C$102</c:f>
              <c:strCache>
                <c:ptCount val="1"/>
                <c:pt idx="0">
                  <c:v>Last Round</c:v>
                </c:pt>
              </c:strCache>
            </c:strRef>
          </c:tx>
          <c:spPr>
            <a:solidFill>
              <a:schemeClr val="accent1">
                <a:lumMod val="40000"/>
                <a:lumOff val="60000"/>
              </a:schemeClr>
            </a:solidFill>
            <a:ln>
              <a:noFill/>
            </a:ln>
            <a:effectLst/>
          </c:spPr>
          <c:invertIfNegative val="0"/>
          <c:val>
            <c:numRef>
              <c:f>Graphs!$D$102</c:f>
              <c:numCache>
                <c:formatCode>General</c:formatCode>
                <c:ptCount val="1"/>
                <c:pt idx="0">
                  <c:v>99.66</c:v>
                </c:pt>
              </c:numCache>
            </c:numRef>
          </c:val>
          <c:extLst>
            <c:ext xmlns:c16="http://schemas.microsoft.com/office/drawing/2014/chart" uri="{C3380CC4-5D6E-409C-BE32-E72D297353CC}">
              <c16:uniqueId val="{00000003-2460-46F2-B267-0616E1C129D4}"/>
            </c:ext>
          </c:extLst>
        </c:ser>
        <c:dLbls>
          <c:showLegendKey val="0"/>
          <c:showVal val="0"/>
          <c:showCatName val="0"/>
          <c:showSerName val="0"/>
          <c:showPercent val="0"/>
          <c:showBubbleSize val="0"/>
        </c:dLbls>
        <c:gapWidth val="97"/>
        <c:axId val="771828728"/>
        <c:axId val="771827160"/>
      </c:barChart>
      <c:catAx>
        <c:axId val="771828728"/>
        <c:scaling>
          <c:orientation val="minMax"/>
        </c:scaling>
        <c:delete val="1"/>
        <c:axPos val="l"/>
        <c:numFmt formatCode="General" sourceLinked="1"/>
        <c:majorTickMark val="none"/>
        <c:minorTickMark val="none"/>
        <c:tickLblPos val="nextTo"/>
        <c:crossAx val="771827160"/>
        <c:crosses val="autoZero"/>
        <c:auto val="1"/>
        <c:lblAlgn val="ctr"/>
        <c:lblOffset val="100"/>
        <c:noMultiLvlLbl val="0"/>
      </c:catAx>
      <c:valAx>
        <c:axId val="771827160"/>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77182872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570428696413"/>
          <c:y val="0.22046296296296292"/>
          <c:w val="0.8450787401574803"/>
          <c:h val="0.47794582968795568"/>
        </c:manualLayout>
      </c:layout>
      <c:barChart>
        <c:barDir val="col"/>
        <c:grouping val="stacked"/>
        <c:varyColors val="0"/>
        <c:ser>
          <c:idx val="0"/>
          <c:order val="0"/>
          <c:tx>
            <c:strRef>
              <c:f>Graphs!$C$5</c:f>
              <c:strCache>
                <c:ptCount val="1"/>
                <c:pt idx="0">
                  <c:v>New </c:v>
                </c:pt>
              </c:strCache>
            </c:strRef>
          </c:tx>
          <c:spPr>
            <a:solidFill>
              <a:schemeClr val="accent1"/>
            </a:solidFill>
            <a:ln>
              <a:noFill/>
            </a:ln>
            <a:effectLst/>
          </c:spPr>
          <c:invertIfNegative val="0"/>
          <c:cat>
            <c:strRef>
              <c:f>Graphs!$D$4:$F$4</c:f>
              <c:strCache>
                <c:ptCount val="3"/>
                <c:pt idx="0">
                  <c:v>Productivity &amp; Business</c:v>
                </c:pt>
                <c:pt idx="1">
                  <c:v>Intelligent Cloud</c:v>
                </c:pt>
                <c:pt idx="2">
                  <c:v>Personal Computing</c:v>
                </c:pt>
              </c:strCache>
            </c:strRef>
          </c:cat>
          <c:val>
            <c:numRef>
              <c:f>Graphs!$D$5:$F$5</c:f>
              <c:numCache>
                <c:formatCode>#,##0</c:formatCode>
                <c:ptCount val="3"/>
                <c:pt idx="0">
                  <c:v>16441.726950000018</c:v>
                </c:pt>
                <c:pt idx="1">
                  <c:v>40773.665790000014</c:v>
                </c:pt>
                <c:pt idx="2">
                  <c:v>117995.01120000002</c:v>
                </c:pt>
              </c:numCache>
            </c:numRef>
          </c:val>
          <c:extLst>
            <c:ext xmlns:c16="http://schemas.microsoft.com/office/drawing/2014/chart" uri="{C3380CC4-5D6E-409C-BE32-E72D297353CC}">
              <c16:uniqueId val="{00000000-FC61-4FFD-979D-5FE6023C2283}"/>
            </c:ext>
          </c:extLst>
        </c:ser>
        <c:ser>
          <c:idx val="1"/>
          <c:order val="1"/>
          <c:tx>
            <c:strRef>
              <c:f>Graphs!$C$6</c:f>
              <c:strCache>
                <c:ptCount val="1"/>
                <c:pt idx="0">
                  <c:v>On-Premise </c:v>
                </c:pt>
              </c:strCache>
            </c:strRef>
          </c:tx>
          <c:spPr>
            <a:solidFill>
              <a:schemeClr val="accent2"/>
            </a:solidFill>
            <a:ln>
              <a:noFill/>
            </a:ln>
            <a:effectLst/>
          </c:spPr>
          <c:invertIfNegative val="0"/>
          <c:cat>
            <c:strRef>
              <c:f>Graphs!$D$4:$F$4</c:f>
              <c:strCache>
                <c:ptCount val="3"/>
                <c:pt idx="0">
                  <c:v>Productivity &amp; Business</c:v>
                </c:pt>
                <c:pt idx="1">
                  <c:v>Intelligent Cloud</c:v>
                </c:pt>
                <c:pt idx="2">
                  <c:v>Personal Computing</c:v>
                </c:pt>
              </c:strCache>
            </c:strRef>
          </c:cat>
          <c:val>
            <c:numRef>
              <c:f>Graphs!$D$6:$F$6</c:f>
              <c:numCache>
                <c:formatCode>#,##0</c:formatCode>
                <c:ptCount val="3"/>
                <c:pt idx="0">
                  <c:v>42636</c:v>
                </c:pt>
                <c:pt idx="1">
                  <c:v>0</c:v>
                </c:pt>
              </c:numCache>
            </c:numRef>
          </c:val>
          <c:extLst>
            <c:ext xmlns:c16="http://schemas.microsoft.com/office/drawing/2014/chart" uri="{C3380CC4-5D6E-409C-BE32-E72D297353CC}">
              <c16:uniqueId val="{00000001-FC61-4FFD-979D-5FE6023C2283}"/>
            </c:ext>
          </c:extLst>
        </c:ser>
        <c:ser>
          <c:idx val="2"/>
          <c:order val="2"/>
          <c:tx>
            <c:strRef>
              <c:f>Graphs!$C$7</c:f>
              <c:strCache>
                <c:ptCount val="1"/>
                <c:pt idx="0">
                  <c:v>Renewed </c:v>
                </c:pt>
              </c:strCache>
            </c:strRef>
          </c:tx>
          <c:spPr>
            <a:solidFill>
              <a:schemeClr val="tx1">
                <a:lumMod val="50000"/>
                <a:lumOff val="50000"/>
              </a:schemeClr>
            </a:solidFill>
            <a:ln>
              <a:noFill/>
            </a:ln>
            <a:effectLst/>
          </c:spPr>
          <c:invertIfNegative val="0"/>
          <c:cat>
            <c:strRef>
              <c:f>Graphs!$D$4:$F$4</c:f>
              <c:strCache>
                <c:ptCount val="3"/>
                <c:pt idx="0">
                  <c:v>Productivity &amp; Business</c:v>
                </c:pt>
                <c:pt idx="1">
                  <c:v>Intelligent Cloud</c:v>
                </c:pt>
                <c:pt idx="2">
                  <c:v>Personal Computing</c:v>
                </c:pt>
              </c:strCache>
            </c:strRef>
          </c:cat>
          <c:val>
            <c:numRef>
              <c:f>Graphs!$D$7:$F$7</c:f>
              <c:numCache>
                <c:formatCode>#,##0</c:formatCode>
                <c:ptCount val="3"/>
                <c:pt idx="0">
                  <c:v>27306.948836418938</c:v>
                </c:pt>
                <c:pt idx="1">
                  <c:v>40189.019781301184</c:v>
                </c:pt>
              </c:numCache>
            </c:numRef>
          </c:val>
          <c:extLst>
            <c:ext xmlns:c16="http://schemas.microsoft.com/office/drawing/2014/chart" uri="{C3380CC4-5D6E-409C-BE32-E72D297353CC}">
              <c16:uniqueId val="{00000002-FC61-4FFD-979D-5FE6023C2283}"/>
            </c:ext>
          </c:extLst>
        </c:ser>
        <c:ser>
          <c:idx val="3"/>
          <c:order val="3"/>
          <c:tx>
            <c:strRef>
              <c:f>Graphs!$C$8</c:f>
              <c:strCache>
                <c:ptCount val="1"/>
                <c:pt idx="0">
                  <c:v>Services </c:v>
                </c:pt>
              </c:strCache>
            </c:strRef>
          </c:tx>
          <c:spPr>
            <a:solidFill>
              <a:schemeClr val="accent4"/>
            </a:solidFill>
            <a:ln>
              <a:noFill/>
            </a:ln>
            <a:effectLst/>
          </c:spPr>
          <c:invertIfNegative val="0"/>
          <c:cat>
            <c:strRef>
              <c:f>Graphs!$D$4:$F$4</c:f>
              <c:strCache>
                <c:ptCount val="3"/>
                <c:pt idx="0">
                  <c:v>Productivity &amp; Business</c:v>
                </c:pt>
                <c:pt idx="1">
                  <c:v>Intelligent Cloud</c:v>
                </c:pt>
                <c:pt idx="2">
                  <c:v>Personal Computing</c:v>
                </c:pt>
              </c:strCache>
            </c:strRef>
          </c:cat>
          <c:val>
            <c:numRef>
              <c:f>Graphs!$D$8:$F$8</c:f>
              <c:numCache>
                <c:formatCode>#,##0</c:formatCode>
                <c:ptCount val="3"/>
                <c:pt idx="0">
                  <c:v>7140</c:v>
                </c:pt>
                <c:pt idx="1">
                  <c:v>4230</c:v>
                </c:pt>
              </c:numCache>
            </c:numRef>
          </c:val>
          <c:extLst>
            <c:ext xmlns:c16="http://schemas.microsoft.com/office/drawing/2014/chart" uri="{C3380CC4-5D6E-409C-BE32-E72D297353CC}">
              <c16:uniqueId val="{00000003-FC61-4FFD-979D-5FE6023C2283}"/>
            </c:ext>
          </c:extLst>
        </c:ser>
        <c:ser>
          <c:idx val="4"/>
          <c:order val="4"/>
          <c:tx>
            <c:strRef>
              <c:f>Graphs!$C$9</c:f>
              <c:strCache>
                <c:ptCount val="1"/>
                <c:pt idx="0">
                  <c:v>Deferred </c:v>
                </c:pt>
              </c:strCache>
            </c:strRef>
          </c:tx>
          <c:spPr>
            <a:solidFill>
              <a:schemeClr val="accent5"/>
            </a:solidFill>
            <a:ln>
              <a:noFill/>
            </a:ln>
            <a:effectLst/>
          </c:spPr>
          <c:invertIfNegative val="0"/>
          <c:cat>
            <c:strRef>
              <c:f>Graphs!$D$4:$F$4</c:f>
              <c:strCache>
                <c:ptCount val="3"/>
                <c:pt idx="0">
                  <c:v>Productivity &amp; Business</c:v>
                </c:pt>
                <c:pt idx="1">
                  <c:v>Intelligent Cloud</c:v>
                </c:pt>
                <c:pt idx="2">
                  <c:v>Personal Computing</c:v>
                </c:pt>
              </c:strCache>
            </c:strRef>
          </c:cat>
          <c:val>
            <c:numRef>
              <c:f>Graphs!$D$9:$F$9</c:f>
              <c:numCache>
                <c:formatCode>#,##0</c:formatCode>
                <c:ptCount val="3"/>
                <c:pt idx="0">
                  <c:v>39578.510513643654</c:v>
                </c:pt>
                <c:pt idx="1">
                  <c:v>58249.698693025319</c:v>
                </c:pt>
              </c:numCache>
            </c:numRef>
          </c:val>
          <c:extLst>
            <c:ext xmlns:c16="http://schemas.microsoft.com/office/drawing/2014/chart" uri="{C3380CC4-5D6E-409C-BE32-E72D297353CC}">
              <c16:uniqueId val="{00000004-FC61-4FFD-979D-5FE6023C2283}"/>
            </c:ext>
          </c:extLst>
        </c:ser>
        <c:dLbls>
          <c:showLegendKey val="0"/>
          <c:showVal val="0"/>
          <c:showCatName val="0"/>
          <c:showSerName val="0"/>
          <c:showPercent val="0"/>
          <c:showBubbleSize val="0"/>
        </c:dLbls>
        <c:gapWidth val="150"/>
        <c:overlap val="100"/>
        <c:axId val="771827944"/>
        <c:axId val="771828336"/>
      </c:barChart>
      <c:barChart>
        <c:barDir val="col"/>
        <c:grouping val="stacked"/>
        <c:varyColors val="0"/>
        <c:ser>
          <c:idx val="5"/>
          <c:order val="5"/>
          <c:tx>
            <c:strRef>
              <c:f>Graphs!$C$10</c:f>
              <c:strCache>
                <c:ptCount val="1"/>
                <c:pt idx="0">
                  <c:v>Total</c:v>
                </c:pt>
              </c:strCache>
            </c:strRef>
          </c:tx>
          <c:spPr>
            <a:noFill/>
            <a:ln>
              <a:noFill/>
            </a:ln>
            <a:effectLst/>
          </c:spPr>
          <c:invertIfNegative val="0"/>
          <c:dLbls>
            <c:numFmt formatCode="&quot;$&quot;#,##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Graphs!$D$4:$F$4</c:f>
              <c:strCache>
                <c:ptCount val="3"/>
                <c:pt idx="0">
                  <c:v>Productivity &amp; Business</c:v>
                </c:pt>
                <c:pt idx="1">
                  <c:v>Intelligent Cloud</c:v>
                </c:pt>
                <c:pt idx="2">
                  <c:v>Personal Computing</c:v>
                </c:pt>
              </c:strCache>
            </c:strRef>
          </c:cat>
          <c:val>
            <c:numRef>
              <c:f>Graphs!$D$10:$F$10</c:f>
              <c:numCache>
                <c:formatCode>#,##0</c:formatCode>
                <c:ptCount val="3"/>
                <c:pt idx="0">
                  <c:v>133103.1863000626</c:v>
                </c:pt>
                <c:pt idx="1">
                  <c:v>143442.38426432654</c:v>
                </c:pt>
                <c:pt idx="2">
                  <c:v>117995.01120000002</c:v>
                </c:pt>
              </c:numCache>
            </c:numRef>
          </c:val>
          <c:extLst>
            <c:ext xmlns:c16="http://schemas.microsoft.com/office/drawing/2014/chart" uri="{C3380CC4-5D6E-409C-BE32-E72D297353CC}">
              <c16:uniqueId val="{00000005-FC61-4FFD-979D-5FE6023C2283}"/>
            </c:ext>
          </c:extLst>
        </c:ser>
        <c:dLbls>
          <c:showLegendKey val="0"/>
          <c:showVal val="0"/>
          <c:showCatName val="0"/>
          <c:showSerName val="0"/>
          <c:showPercent val="0"/>
          <c:showBubbleSize val="0"/>
        </c:dLbls>
        <c:gapWidth val="150"/>
        <c:overlap val="100"/>
        <c:axId val="771822848"/>
        <c:axId val="771817360"/>
      </c:barChart>
      <c:catAx>
        <c:axId val="771827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28336"/>
        <c:crosses val="autoZero"/>
        <c:auto val="1"/>
        <c:lblAlgn val="ctr"/>
        <c:lblOffset val="100"/>
        <c:noMultiLvlLbl val="0"/>
      </c:catAx>
      <c:valAx>
        <c:axId val="771828336"/>
        <c:scaling>
          <c:orientation val="minMax"/>
          <c:max val="300000"/>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27944"/>
        <c:crosses val="autoZero"/>
        <c:crossBetween val="between"/>
        <c:dispUnits>
          <c:builtInUnit val="thousands"/>
        </c:dispUnits>
      </c:valAx>
      <c:valAx>
        <c:axId val="771817360"/>
        <c:scaling>
          <c:orientation val="minMax"/>
          <c:max val="-1"/>
          <c:min val="-100000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22848"/>
        <c:crosses val="max"/>
        <c:crossBetween val="between"/>
        <c:dispUnits>
          <c:builtInUnit val="thousands"/>
        </c:dispUnits>
      </c:valAx>
      <c:catAx>
        <c:axId val="771822848"/>
        <c:scaling>
          <c:orientation val="minMax"/>
        </c:scaling>
        <c:delete val="1"/>
        <c:axPos val="b"/>
        <c:numFmt formatCode="General" sourceLinked="1"/>
        <c:majorTickMark val="out"/>
        <c:minorTickMark val="none"/>
        <c:tickLblPos val="nextTo"/>
        <c:crossAx val="771817360"/>
        <c:crosses val="autoZero"/>
        <c:auto val="1"/>
        <c:lblAlgn val="ctr"/>
        <c:lblOffset val="100"/>
        <c:noMultiLvlLbl val="0"/>
      </c:cat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00660518025994"/>
          <c:y val="0.34953140327156074"/>
          <c:w val="0.8450787401574803"/>
          <c:h val="0.47794582968795568"/>
        </c:manualLayout>
      </c:layout>
      <c:barChart>
        <c:barDir val="col"/>
        <c:grouping val="stacked"/>
        <c:varyColors val="0"/>
        <c:ser>
          <c:idx val="0"/>
          <c:order val="0"/>
          <c:tx>
            <c:strRef>
              <c:f>Graphs!$C$13</c:f>
              <c:strCache>
                <c:ptCount val="1"/>
                <c:pt idx="0">
                  <c:v>New </c:v>
                </c:pt>
              </c:strCache>
            </c:strRef>
          </c:tx>
          <c:spPr>
            <a:solidFill>
              <a:schemeClr val="accent1"/>
            </a:solidFill>
            <a:ln>
              <a:noFill/>
            </a:ln>
            <a:effectLst/>
          </c:spPr>
          <c:invertIfNegative val="0"/>
          <c:cat>
            <c:strRef>
              <c:f>Graphs!$D$12:$F$12</c:f>
              <c:strCache>
                <c:ptCount val="3"/>
                <c:pt idx="0">
                  <c:v>Productivity &amp; Business</c:v>
                </c:pt>
                <c:pt idx="1">
                  <c:v>Intelligent Cloud</c:v>
                </c:pt>
                <c:pt idx="2">
                  <c:v>Personal Computing</c:v>
                </c:pt>
              </c:strCache>
            </c:strRef>
          </c:cat>
          <c:val>
            <c:numRef>
              <c:f>Graphs!$D$13:$F$13</c:f>
              <c:numCache>
                <c:formatCode>#,##0</c:formatCode>
                <c:ptCount val="3"/>
                <c:pt idx="0">
                  <c:v>11421.855225000001</c:v>
                </c:pt>
                <c:pt idx="1">
                  <c:v>62586.628211250012</c:v>
                </c:pt>
                <c:pt idx="2">
                  <c:v>98329.017600000021</c:v>
                </c:pt>
              </c:numCache>
            </c:numRef>
          </c:val>
          <c:extLst>
            <c:ext xmlns:c16="http://schemas.microsoft.com/office/drawing/2014/chart" uri="{C3380CC4-5D6E-409C-BE32-E72D297353CC}">
              <c16:uniqueId val="{00000001-81FC-4A45-B4BB-845003C28FA5}"/>
            </c:ext>
          </c:extLst>
        </c:ser>
        <c:ser>
          <c:idx val="1"/>
          <c:order val="1"/>
          <c:tx>
            <c:strRef>
              <c:f>Graphs!$C$14</c:f>
              <c:strCache>
                <c:ptCount val="1"/>
                <c:pt idx="0">
                  <c:v>On-Premise </c:v>
                </c:pt>
              </c:strCache>
            </c:strRef>
          </c:tx>
          <c:spPr>
            <a:solidFill>
              <a:schemeClr val="accent2"/>
            </a:solidFill>
            <a:ln>
              <a:noFill/>
            </a:ln>
            <a:effectLst/>
          </c:spPr>
          <c:invertIfNegative val="0"/>
          <c:cat>
            <c:strRef>
              <c:f>Graphs!$D$12:$F$12</c:f>
              <c:strCache>
                <c:ptCount val="3"/>
                <c:pt idx="0">
                  <c:v>Productivity &amp; Business</c:v>
                </c:pt>
                <c:pt idx="1">
                  <c:v>Intelligent Cloud</c:v>
                </c:pt>
                <c:pt idx="2">
                  <c:v>Personal Computing</c:v>
                </c:pt>
              </c:strCache>
            </c:strRef>
          </c:cat>
          <c:val>
            <c:numRef>
              <c:f>Graphs!$D$14:$F$14</c:f>
              <c:numCache>
                <c:formatCode>#,##0</c:formatCode>
                <c:ptCount val="3"/>
                <c:pt idx="0">
                  <c:v>26647.500000000004</c:v>
                </c:pt>
                <c:pt idx="1">
                  <c:v>0</c:v>
                </c:pt>
              </c:numCache>
            </c:numRef>
          </c:val>
          <c:extLst>
            <c:ext xmlns:c16="http://schemas.microsoft.com/office/drawing/2014/chart" uri="{C3380CC4-5D6E-409C-BE32-E72D297353CC}">
              <c16:uniqueId val="{00000003-81FC-4A45-B4BB-845003C28FA5}"/>
            </c:ext>
          </c:extLst>
        </c:ser>
        <c:ser>
          <c:idx val="2"/>
          <c:order val="2"/>
          <c:tx>
            <c:strRef>
              <c:f>Graphs!$C$15</c:f>
              <c:strCache>
                <c:ptCount val="1"/>
                <c:pt idx="0">
                  <c:v>Renewed </c:v>
                </c:pt>
              </c:strCache>
            </c:strRef>
          </c:tx>
          <c:spPr>
            <a:solidFill>
              <a:schemeClr val="tx1">
                <a:lumMod val="50000"/>
                <a:lumOff val="50000"/>
              </a:schemeClr>
            </a:solidFill>
            <a:ln>
              <a:noFill/>
            </a:ln>
            <a:effectLst/>
          </c:spPr>
          <c:invertIfNegative val="0"/>
          <c:cat>
            <c:strRef>
              <c:f>Graphs!$D$12:$F$12</c:f>
              <c:strCache>
                <c:ptCount val="3"/>
                <c:pt idx="0">
                  <c:v>Productivity &amp; Business</c:v>
                </c:pt>
                <c:pt idx="1">
                  <c:v>Intelligent Cloud</c:v>
                </c:pt>
                <c:pt idx="2">
                  <c:v>Personal Computing</c:v>
                </c:pt>
              </c:strCache>
            </c:strRef>
          </c:cat>
          <c:val>
            <c:numRef>
              <c:f>Graphs!$D$15:$F$15</c:f>
              <c:numCache>
                <c:formatCode>#,##0</c:formatCode>
                <c:ptCount val="3"/>
                <c:pt idx="0">
                  <c:v>16599.933840411457</c:v>
                </c:pt>
                <c:pt idx="1">
                  <c:v>43851.77801456544</c:v>
                </c:pt>
              </c:numCache>
            </c:numRef>
          </c:val>
          <c:extLst>
            <c:ext xmlns:c16="http://schemas.microsoft.com/office/drawing/2014/chart" uri="{C3380CC4-5D6E-409C-BE32-E72D297353CC}">
              <c16:uniqueId val="{00000005-81FC-4A45-B4BB-845003C28FA5}"/>
            </c:ext>
          </c:extLst>
        </c:ser>
        <c:ser>
          <c:idx val="3"/>
          <c:order val="3"/>
          <c:tx>
            <c:strRef>
              <c:f>Graphs!$C$16</c:f>
              <c:strCache>
                <c:ptCount val="1"/>
                <c:pt idx="0">
                  <c:v>Services </c:v>
                </c:pt>
              </c:strCache>
            </c:strRef>
          </c:tx>
          <c:spPr>
            <a:solidFill>
              <a:schemeClr val="accent4"/>
            </a:solidFill>
            <a:ln>
              <a:noFill/>
            </a:ln>
            <a:effectLst/>
          </c:spPr>
          <c:invertIfNegative val="0"/>
          <c:cat>
            <c:strRef>
              <c:f>Graphs!$D$12:$F$12</c:f>
              <c:strCache>
                <c:ptCount val="3"/>
                <c:pt idx="0">
                  <c:v>Productivity &amp; Business</c:v>
                </c:pt>
                <c:pt idx="1">
                  <c:v>Intelligent Cloud</c:v>
                </c:pt>
                <c:pt idx="2">
                  <c:v>Personal Computing</c:v>
                </c:pt>
              </c:strCache>
            </c:strRef>
          </c:cat>
          <c:val>
            <c:numRef>
              <c:f>Graphs!$D$16:$F$16</c:f>
              <c:numCache>
                <c:formatCode>#,##0</c:formatCode>
                <c:ptCount val="3"/>
                <c:pt idx="0">
                  <c:v>23745</c:v>
                </c:pt>
                <c:pt idx="1">
                  <c:v>22815</c:v>
                </c:pt>
              </c:numCache>
            </c:numRef>
          </c:val>
          <c:extLst>
            <c:ext xmlns:c16="http://schemas.microsoft.com/office/drawing/2014/chart" uri="{C3380CC4-5D6E-409C-BE32-E72D297353CC}">
              <c16:uniqueId val="{00000007-81FC-4A45-B4BB-845003C28FA5}"/>
            </c:ext>
          </c:extLst>
        </c:ser>
        <c:ser>
          <c:idx val="4"/>
          <c:order val="4"/>
          <c:tx>
            <c:strRef>
              <c:f>Graphs!$C$17</c:f>
              <c:strCache>
                <c:ptCount val="1"/>
                <c:pt idx="0">
                  <c:v>Deferred </c:v>
                </c:pt>
              </c:strCache>
            </c:strRef>
          </c:tx>
          <c:spPr>
            <a:solidFill>
              <a:schemeClr val="accent5"/>
            </a:solidFill>
            <a:ln>
              <a:noFill/>
            </a:ln>
            <a:effectLst/>
          </c:spPr>
          <c:invertIfNegative val="0"/>
          <c:cat>
            <c:strRef>
              <c:f>Graphs!$D$12:$F$12</c:f>
              <c:strCache>
                <c:ptCount val="3"/>
                <c:pt idx="0">
                  <c:v>Productivity &amp; Business</c:v>
                </c:pt>
                <c:pt idx="1">
                  <c:v>Intelligent Cloud</c:v>
                </c:pt>
                <c:pt idx="2">
                  <c:v>Personal Computing</c:v>
                </c:pt>
              </c:strCache>
            </c:strRef>
          </c:cat>
          <c:val>
            <c:numRef>
              <c:f>Graphs!$D$17:$F$17</c:f>
              <c:numCache>
                <c:formatCode>#,##0</c:formatCode>
                <c:ptCount val="3"/>
                <c:pt idx="0">
                  <c:v>24059.833999186329</c:v>
                </c:pt>
                <c:pt idx="1">
                  <c:v>63558.476180858161</c:v>
                </c:pt>
              </c:numCache>
            </c:numRef>
          </c:val>
          <c:extLst>
            <c:ext xmlns:c16="http://schemas.microsoft.com/office/drawing/2014/chart" uri="{C3380CC4-5D6E-409C-BE32-E72D297353CC}">
              <c16:uniqueId val="{00000009-81FC-4A45-B4BB-845003C28FA5}"/>
            </c:ext>
          </c:extLst>
        </c:ser>
        <c:dLbls>
          <c:showLegendKey val="0"/>
          <c:showVal val="0"/>
          <c:showCatName val="0"/>
          <c:showSerName val="0"/>
          <c:showPercent val="0"/>
          <c:showBubbleSize val="0"/>
        </c:dLbls>
        <c:gapWidth val="150"/>
        <c:overlap val="100"/>
        <c:axId val="771822456"/>
        <c:axId val="771816184"/>
      </c:barChart>
      <c:barChart>
        <c:barDir val="col"/>
        <c:grouping val="stacked"/>
        <c:varyColors val="0"/>
        <c:ser>
          <c:idx val="5"/>
          <c:order val="5"/>
          <c:tx>
            <c:strRef>
              <c:f>Graphs!$C$18</c:f>
              <c:strCache>
                <c:ptCount val="1"/>
                <c:pt idx="0">
                  <c:v>Total</c:v>
                </c:pt>
              </c:strCache>
            </c:strRef>
          </c:tx>
          <c:spPr>
            <a:noFill/>
            <a:ln>
              <a:noFill/>
            </a:ln>
            <a:effectLst/>
          </c:spPr>
          <c:invertIfNegative val="0"/>
          <c:dLbls>
            <c:numFmt formatCode="&quot;$&quot;#,##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Graphs!$D$12:$F$12</c:f>
              <c:strCache>
                <c:ptCount val="3"/>
                <c:pt idx="0">
                  <c:v>Productivity &amp; Business</c:v>
                </c:pt>
                <c:pt idx="1">
                  <c:v>Intelligent Cloud</c:v>
                </c:pt>
                <c:pt idx="2">
                  <c:v>Personal Computing</c:v>
                </c:pt>
              </c:strCache>
            </c:strRef>
          </c:cat>
          <c:val>
            <c:numRef>
              <c:f>Graphs!$D$18:$F$18</c:f>
              <c:numCache>
                <c:formatCode>#,##0</c:formatCode>
                <c:ptCount val="3"/>
                <c:pt idx="0">
                  <c:v>102474.12306459779</c:v>
                </c:pt>
                <c:pt idx="1">
                  <c:v>192811.8824066736</c:v>
                </c:pt>
                <c:pt idx="2">
                  <c:v>98329.017600000021</c:v>
                </c:pt>
              </c:numCache>
            </c:numRef>
          </c:val>
          <c:extLst>
            <c:ext xmlns:c16="http://schemas.microsoft.com/office/drawing/2014/chart" uri="{C3380CC4-5D6E-409C-BE32-E72D297353CC}">
              <c16:uniqueId val="{0000000B-81FC-4A45-B4BB-845003C28FA5}"/>
            </c:ext>
          </c:extLst>
        </c:ser>
        <c:dLbls>
          <c:showLegendKey val="0"/>
          <c:showVal val="0"/>
          <c:showCatName val="0"/>
          <c:showSerName val="0"/>
          <c:showPercent val="0"/>
          <c:showBubbleSize val="0"/>
        </c:dLbls>
        <c:gapWidth val="150"/>
        <c:overlap val="100"/>
        <c:axId val="771815008"/>
        <c:axId val="771825592"/>
      </c:barChart>
      <c:catAx>
        <c:axId val="771822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16184"/>
        <c:crosses val="autoZero"/>
        <c:auto val="1"/>
        <c:lblAlgn val="ctr"/>
        <c:lblOffset val="100"/>
        <c:noMultiLvlLbl val="0"/>
      </c:catAx>
      <c:valAx>
        <c:axId val="771816184"/>
        <c:scaling>
          <c:orientation val="minMax"/>
          <c:max val="300000"/>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22456"/>
        <c:crosses val="autoZero"/>
        <c:crossBetween val="between"/>
        <c:dispUnits>
          <c:builtInUnit val="thousands"/>
        </c:dispUnits>
      </c:valAx>
      <c:valAx>
        <c:axId val="771825592"/>
        <c:scaling>
          <c:orientation val="minMax"/>
          <c:max val="-1"/>
          <c:min val="-100000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771815008"/>
        <c:crosses val="max"/>
        <c:crossBetween val="between"/>
        <c:dispUnits>
          <c:builtInUnit val="thousands"/>
        </c:dispUnits>
      </c:valAx>
      <c:catAx>
        <c:axId val="771815008"/>
        <c:scaling>
          <c:orientation val="minMax"/>
        </c:scaling>
        <c:delete val="1"/>
        <c:axPos val="b"/>
        <c:numFmt formatCode="General" sourceLinked="1"/>
        <c:majorTickMark val="out"/>
        <c:minorTickMark val="none"/>
        <c:tickLblPos val="nextTo"/>
        <c:crossAx val="771825592"/>
        <c:crosses val="autoZero"/>
        <c:auto val="1"/>
        <c:lblAlgn val="ctr"/>
        <c:lblOffset val="100"/>
        <c:noMultiLvlLbl val="0"/>
      </c:cat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980665504937346E-4"/>
          <c:y val="1.1113495291761514E-2"/>
          <c:w val="0.98186613913616883"/>
          <c:h val="0.67690990661051087"/>
        </c:manualLayout>
      </c:layout>
      <c:barChart>
        <c:barDir val="col"/>
        <c:grouping val="clustered"/>
        <c:varyColors val="0"/>
        <c:ser>
          <c:idx val="0"/>
          <c:order val="0"/>
          <c:tx>
            <c:strRef>
              <c:f>Graphs!$D$25</c:f>
              <c:strCache>
                <c:ptCount val="1"/>
                <c:pt idx="0">
                  <c:v>Last Round</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Graphs!$D$26:$D$28</c:f>
              <c:numCache>
                <c:formatCode>General</c:formatCode>
                <c:ptCount val="3"/>
                <c:pt idx="0">
                  <c:v>250</c:v>
                </c:pt>
                <c:pt idx="1">
                  <c:v>125</c:v>
                </c:pt>
                <c:pt idx="2">
                  <c:v>90</c:v>
                </c:pt>
              </c:numCache>
            </c:numRef>
          </c:val>
          <c:extLst>
            <c:ext xmlns:c16="http://schemas.microsoft.com/office/drawing/2014/chart" uri="{C3380CC4-5D6E-409C-BE32-E72D297353CC}">
              <c16:uniqueId val="{00000000-1570-4223-8211-89D547177171}"/>
            </c:ext>
          </c:extLst>
        </c:ser>
        <c:ser>
          <c:idx val="1"/>
          <c:order val="1"/>
          <c:tx>
            <c:strRef>
              <c:f>Graphs!$E$25</c:f>
              <c:strCache>
                <c:ptCount val="1"/>
                <c:pt idx="0">
                  <c:v>This Round</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Graphs!$E$26:$E$28</c:f>
              <c:numCache>
                <c:formatCode>General</c:formatCode>
                <c:ptCount val="3"/>
                <c:pt idx="0">
                  <c:v>250</c:v>
                </c:pt>
                <c:pt idx="1">
                  <c:v>125</c:v>
                </c:pt>
                <c:pt idx="2">
                  <c:v>90</c:v>
                </c:pt>
              </c:numCache>
            </c:numRef>
          </c:val>
          <c:extLst>
            <c:ext xmlns:c16="http://schemas.microsoft.com/office/drawing/2014/chart" uri="{C3380CC4-5D6E-409C-BE32-E72D297353CC}">
              <c16:uniqueId val="{00000001-1570-4223-8211-89D547177171}"/>
            </c:ext>
          </c:extLst>
        </c:ser>
        <c:ser>
          <c:idx val="2"/>
          <c:order val="2"/>
          <c:tx>
            <c:strRef>
              <c:f>Graphs!$F$25</c:f>
              <c:strCache>
                <c:ptCount val="1"/>
                <c:pt idx="0">
                  <c:v>Industry Average</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Graphs!$F$26:$F$28</c:f>
              <c:numCache>
                <c:formatCode>General</c:formatCode>
                <c:ptCount val="3"/>
                <c:pt idx="0">
                  <c:v>188</c:v>
                </c:pt>
                <c:pt idx="1">
                  <c:v>144</c:v>
                </c:pt>
                <c:pt idx="2">
                  <c:v>104</c:v>
                </c:pt>
              </c:numCache>
            </c:numRef>
          </c:val>
          <c:extLst>
            <c:ext xmlns:c16="http://schemas.microsoft.com/office/drawing/2014/chart" uri="{C3380CC4-5D6E-409C-BE32-E72D297353CC}">
              <c16:uniqueId val="{00000000-C087-449A-BC8B-014B2A97943D}"/>
            </c:ext>
          </c:extLst>
        </c:ser>
        <c:dLbls>
          <c:dLblPos val="outEnd"/>
          <c:showLegendKey val="0"/>
          <c:showVal val="1"/>
          <c:showCatName val="0"/>
          <c:showSerName val="0"/>
          <c:showPercent val="0"/>
          <c:showBubbleSize val="0"/>
        </c:dLbls>
        <c:gapWidth val="219"/>
        <c:overlap val="-27"/>
        <c:axId val="771823240"/>
        <c:axId val="771814616"/>
      </c:barChart>
      <c:catAx>
        <c:axId val="771823240"/>
        <c:scaling>
          <c:orientation val="minMax"/>
        </c:scaling>
        <c:delete val="1"/>
        <c:axPos val="b"/>
        <c:numFmt formatCode="General" sourceLinked="1"/>
        <c:majorTickMark val="none"/>
        <c:minorTickMark val="none"/>
        <c:tickLblPos val="nextTo"/>
        <c:crossAx val="771814616"/>
        <c:crosses val="autoZero"/>
        <c:auto val="1"/>
        <c:lblAlgn val="ctr"/>
        <c:lblOffset val="100"/>
        <c:noMultiLvlLbl val="0"/>
      </c:catAx>
      <c:valAx>
        <c:axId val="771814616"/>
        <c:scaling>
          <c:orientation val="minMax"/>
          <c:max val="500"/>
        </c:scaling>
        <c:delete val="1"/>
        <c:axPos val="l"/>
        <c:numFmt formatCode="General" sourceLinked="1"/>
        <c:majorTickMark val="out"/>
        <c:minorTickMark val="none"/>
        <c:tickLblPos val="nextTo"/>
        <c:crossAx val="771823240"/>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875968992248062E-2"/>
          <c:w val="0.98186613913616883"/>
          <c:h val="0.67690990661051087"/>
        </c:manualLayout>
      </c:layout>
      <c:barChart>
        <c:barDir val="bar"/>
        <c:grouping val="clustered"/>
        <c:varyColors val="0"/>
        <c:ser>
          <c:idx val="0"/>
          <c:order val="0"/>
          <c:tx>
            <c:strRef>
              <c:f>Graphs!$F$20</c:f>
              <c:strCache>
                <c:ptCount val="1"/>
                <c:pt idx="0">
                  <c:v>Industry Average</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Graphs!$C$21:$C$23</c:f>
              <c:strCache>
                <c:ptCount val="3"/>
                <c:pt idx="0">
                  <c:v>Industry Expertise</c:v>
                </c:pt>
                <c:pt idx="1">
                  <c:v>Consultative Skills</c:v>
                </c:pt>
                <c:pt idx="2">
                  <c:v>Technical Expertise</c:v>
                </c:pt>
              </c:strCache>
            </c:strRef>
          </c:cat>
          <c:val>
            <c:numRef>
              <c:f>Graphs!$F$21:$F$23</c:f>
              <c:numCache>
                <c:formatCode>General</c:formatCode>
                <c:ptCount val="3"/>
                <c:pt idx="0">
                  <c:v>3.5</c:v>
                </c:pt>
                <c:pt idx="1">
                  <c:v>6.25</c:v>
                </c:pt>
                <c:pt idx="2">
                  <c:v>6</c:v>
                </c:pt>
              </c:numCache>
            </c:numRef>
          </c:val>
          <c:extLst>
            <c:ext xmlns:c16="http://schemas.microsoft.com/office/drawing/2014/chart" uri="{C3380CC4-5D6E-409C-BE32-E72D297353CC}">
              <c16:uniqueId val="{00000002-CBD2-4111-9071-D0A335638217}"/>
            </c:ext>
          </c:extLst>
        </c:ser>
        <c:ser>
          <c:idx val="1"/>
          <c:order val="1"/>
          <c:tx>
            <c:strRef>
              <c:f>Graphs!$D$20</c:f>
              <c:strCache>
                <c:ptCount val="1"/>
                <c:pt idx="0">
                  <c:v>Last Round</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Graphs!$C$21:$C$23</c:f>
              <c:strCache>
                <c:ptCount val="3"/>
                <c:pt idx="0">
                  <c:v>Industry Expertise</c:v>
                </c:pt>
                <c:pt idx="1">
                  <c:v>Consultative Skills</c:v>
                </c:pt>
                <c:pt idx="2">
                  <c:v>Technical Expertise</c:v>
                </c:pt>
              </c:strCache>
            </c:strRef>
          </c:cat>
          <c:val>
            <c:numRef>
              <c:f>Graphs!$D$21:$D$23</c:f>
              <c:numCache>
                <c:formatCode>General</c:formatCode>
                <c:ptCount val="3"/>
                <c:pt idx="0">
                  <c:v>2</c:v>
                </c:pt>
                <c:pt idx="1">
                  <c:v>5</c:v>
                </c:pt>
                <c:pt idx="2">
                  <c:v>8</c:v>
                </c:pt>
              </c:numCache>
            </c:numRef>
          </c:val>
          <c:extLst>
            <c:ext xmlns:c16="http://schemas.microsoft.com/office/drawing/2014/chart" uri="{C3380CC4-5D6E-409C-BE32-E72D297353CC}">
              <c16:uniqueId val="{00000004-CBD2-4111-9071-D0A335638217}"/>
            </c:ext>
          </c:extLst>
        </c:ser>
        <c:ser>
          <c:idx val="2"/>
          <c:order val="2"/>
          <c:tx>
            <c:strRef>
              <c:f>Graphs!$E$20</c:f>
              <c:strCache>
                <c:ptCount val="1"/>
                <c:pt idx="0">
                  <c:v>This Round</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Graphs!$C$21:$C$23</c:f>
              <c:strCache>
                <c:ptCount val="3"/>
                <c:pt idx="0">
                  <c:v>Industry Expertise</c:v>
                </c:pt>
                <c:pt idx="1">
                  <c:v>Consultative Skills</c:v>
                </c:pt>
                <c:pt idx="2">
                  <c:v>Technical Expertise</c:v>
                </c:pt>
              </c:strCache>
            </c:strRef>
          </c:cat>
          <c:val>
            <c:numRef>
              <c:f>Graphs!$E$21:$E$23</c:f>
              <c:numCache>
                <c:formatCode>General</c:formatCode>
                <c:ptCount val="3"/>
                <c:pt idx="0">
                  <c:v>2</c:v>
                </c:pt>
                <c:pt idx="1">
                  <c:v>5</c:v>
                </c:pt>
                <c:pt idx="2">
                  <c:v>8</c:v>
                </c:pt>
              </c:numCache>
            </c:numRef>
          </c:val>
          <c:extLst>
            <c:ext xmlns:c16="http://schemas.microsoft.com/office/drawing/2014/chart" uri="{C3380CC4-5D6E-409C-BE32-E72D297353CC}">
              <c16:uniqueId val="{00000006-CBD2-4111-9071-D0A335638217}"/>
            </c:ext>
          </c:extLst>
        </c:ser>
        <c:dLbls>
          <c:dLblPos val="outEnd"/>
          <c:showLegendKey val="0"/>
          <c:showVal val="1"/>
          <c:showCatName val="0"/>
          <c:showSerName val="0"/>
          <c:showPercent val="0"/>
          <c:showBubbleSize val="0"/>
        </c:dLbls>
        <c:gapWidth val="219"/>
        <c:axId val="771819320"/>
        <c:axId val="771825984"/>
      </c:barChart>
      <c:catAx>
        <c:axId val="771819320"/>
        <c:scaling>
          <c:orientation val="minMax"/>
        </c:scaling>
        <c:delete val="1"/>
        <c:axPos val="l"/>
        <c:numFmt formatCode="General" sourceLinked="1"/>
        <c:majorTickMark val="out"/>
        <c:minorTickMark val="none"/>
        <c:tickLblPos val="nextTo"/>
        <c:crossAx val="771825984"/>
        <c:crosses val="autoZero"/>
        <c:auto val="1"/>
        <c:lblAlgn val="ctr"/>
        <c:lblOffset val="100"/>
        <c:noMultiLvlLbl val="0"/>
      </c:catAx>
      <c:valAx>
        <c:axId val="771825984"/>
        <c:scaling>
          <c:orientation val="minMax"/>
          <c:max val="15"/>
        </c:scaling>
        <c:delete val="1"/>
        <c:axPos val="b"/>
        <c:numFmt formatCode="General" sourceLinked="1"/>
        <c:majorTickMark val="out"/>
        <c:minorTickMark val="none"/>
        <c:tickLblPos val="nextTo"/>
        <c:crossAx val="771819320"/>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3.875968992248062E-2"/>
          <c:w val="0.98186613913616883"/>
          <c:h val="0.67690990661051087"/>
        </c:manualLayout>
      </c:layout>
      <c:barChart>
        <c:barDir val="col"/>
        <c:grouping val="clustered"/>
        <c:varyColors val="0"/>
        <c:ser>
          <c:idx val="0"/>
          <c:order val="0"/>
          <c:tx>
            <c:strRef>
              <c:f>Graphs!$D$25</c:f>
              <c:strCache>
                <c:ptCount val="1"/>
                <c:pt idx="0">
                  <c:v>Last Round</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Graphs!$D$26:$D$28</c:f>
              <c:numCache>
                <c:formatCode>General</c:formatCode>
                <c:ptCount val="3"/>
                <c:pt idx="0">
                  <c:v>250</c:v>
                </c:pt>
                <c:pt idx="1">
                  <c:v>125</c:v>
                </c:pt>
                <c:pt idx="2">
                  <c:v>90</c:v>
                </c:pt>
              </c:numCache>
            </c:numRef>
          </c:val>
          <c:extLst>
            <c:ext xmlns:c16="http://schemas.microsoft.com/office/drawing/2014/chart" uri="{C3380CC4-5D6E-409C-BE32-E72D297353CC}">
              <c16:uniqueId val="{00000000-2624-4094-938C-15993034AE67}"/>
            </c:ext>
          </c:extLst>
        </c:ser>
        <c:ser>
          <c:idx val="1"/>
          <c:order val="1"/>
          <c:tx>
            <c:strRef>
              <c:f>Graphs!$E$25</c:f>
              <c:strCache>
                <c:ptCount val="1"/>
                <c:pt idx="0">
                  <c:v>This Round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Graphs!$E$26:$E$28</c:f>
              <c:numCache>
                <c:formatCode>General</c:formatCode>
                <c:ptCount val="3"/>
                <c:pt idx="0">
                  <c:v>250</c:v>
                </c:pt>
                <c:pt idx="1">
                  <c:v>125</c:v>
                </c:pt>
                <c:pt idx="2">
                  <c:v>90</c:v>
                </c:pt>
              </c:numCache>
            </c:numRef>
          </c:val>
          <c:extLst>
            <c:ext xmlns:c16="http://schemas.microsoft.com/office/drawing/2014/chart" uri="{C3380CC4-5D6E-409C-BE32-E72D297353CC}">
              <c16:uniqueId val="{00000001-2624-4094-938C-15993034AE67}"/>
            </c:ext>
          </c:extLst>
        </c:ser>
        <c:ser>
          <c:idx val="2"/>
          <c:order val="2"/>
          <c:tx>
            <c:strRef>
              <c:f>Graphs!$F$25</c:f>
              <c:strCache>
                <c:ptCount val="1"/>
                <c:pt idx="0">
                  <c:v>Industry Average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Graphs!$C$26:$C$28</c:f>
              <c:strCache>
                <c:ptCount val="3"/>
                <c:pt idx="0">
                  <c:v>Direct Sales FTEs</c:v>
                </c:pt>
                <c:pt idx="1">
                  <c:v>Inside Sales FTEs</c:v>
                </c:pt>
                <c:pt idx="2">
                  <c:v>Services FTEs</c:v>
                </c:pt>
              </c:strCache>
            </c:strRef>
          </c:cat>
          <c:val>
            <c:numRef>
              <c:f>Graphs!$F$26:$F$28</c:f>
              <c:numCache>
                <c:formatCode>General</c:formatCode>
                <c:ptCount val="3"/>
                <c:pt idx="0">
                  <c:v>188</c:v>
                </c:pt>
                <c:pt idx="1">
                  <c:v>144</c:v>
                </c:pt>
                <c:pt idx="2">
                  <c:v>104</c:v>
                </c:pt>
              </c:numCache>
            </c:numRef>
          </c:val>
          <c:extLst>
            <c:ext xmlns:c16="http://schemas.microsoft.com/office/drawing/2014/chart" uri="{C3380CC4-5D6E-409C-BE32-E72D297353CC}">
              <c16:uniqueId val="{00000002-2624-4094-938C-15993034AE67}"/>
            </c:ext>
          </c:extLst>
        </c:ser>
        <c:dLbls>
          <c:dLblPos val="outEnd"/>
          <c:showLegendKey val="0"/>
          <c:showVal val="1"/>
          <c:showCatName val="0"/>
          <c:showSerName val="0"/>
          <c:showPercent val="0"/>
          <c:showBubbleSize val="0"/>
        </c:dLbls>
        <c:gapWidth val="219"/>
        <c:overlap val="-27"/>
        <c:axId val="771826376"/>
        <c:axId val="771826768"/>
      </c:barChart>
      <c:catAx>
        <c:axId val="771826376"/>
        <c:scaling>
          <c:orientation val="minMax"/>
        </c:scaling>
        <c:delete val="1"/>
        <c:axPos val="b"/>
        <c:numFmt formatCode="General" sourceLinked="1"/>
        <c:majorTickMark val="none"/>
        <c:minorTickMark val="none"/>
        <c:tickLblPos val="nextTo"/>
        <c:crossAx val="771826768"/>
        <c:crosses val="autoZero"/>
        <c:auto val="1"/>
        <c:lblAlgn val="ctr"/>
        <c:lblOffset val="100"/>
        <c:noMultiLvlLbl val="0"/>
      </c:catAx>
      <c:valAx>
        <c:axId val="771826768"/>
        <c:scaling>
          <c:orientation val="minMax"/>
        </c:scaling>
        <c:delete val="1"/>
        <c:axPos val="l"/>
        <c:numFmt formatCode="General" sourceLinked="1"/>
        <c:majorTickMark val="none"/>
        <c:minorTickMark val="none"/>
        <c:tickLblPos val="nextTo"/>
        <c:crossAx val="771826376"/>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7F-438E-BA2A-3B76A698C2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7F-438E-BA2A-3B76A698C211}"/>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Graphs!$C$30:$C$31</c:f>
              <c:strCache>
                <c:ptCount val="2"/>
                <c:pt idx="0">
                  <c:v>Cloud Subscriptions</c:v>
                </c:pt>
                <c:pt idx="1">
                  <c:v>On-Premise Licenses</c:v>
                </c:pt>
              </c:strCache>
            </c:strRef>
          </c:cat>
          <c:val>
            <c:numRef>
              <c:f>Graphs!$D$30:$D$31</c:f>
              <c:numCache>
                <c:formatCode>General</c:formatCode>
                <c:ptCount val="2"/>
                <c:pt idx="0">
                  <c:v>0.83995427246632004</c:v>
                </c:pt>
                <c:pt idx="1">
                  <c:v>0.16004572753367996</c:v>
                </c:pt>
              </c:numCache>
            </c:numRef>
          </c:val>
          <c:extLst>
            <c:ext xmlns:c16="http://schemas.microsoft.com/office/drawing/2014/chart" uri="{C3380CC4-5D6E-409C-BE32-E72D297353CC}">
              <c16:uniqueId val="{00000004-6D7F-438E-BA2A-3B76A698C211}"/>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Graphs!$C$33:$C$34</c:f>
              <c:strCache>
                <c:ptCount val="2"/>
                <c:pt idx="0">
                  <c:v>Migrated to the Cloud</c:v>
                </c:pt>
                <c:pt idx="1">
                  <c:v>Regrettable Churn</c:v>
                </c:pt>
              </c:strCache>
            </c:strRef>
          </c:cat>
          <c:val>
            <c:numRef>
              <c:f>Graphs!$D$33:$D$34</c:f>
              <c:numCache>
                <c:formatCode>#,##0</c:formatCode>
                <c:ptCount val="2"/>
                <c:pt idx="0">
                  <c:v>0</c:v>
                </c:pt>
                <c:pt idx="1">
                  <c:v>0</c:v>
                </c:pt>
              </c:numCache>
            </c:numRef>
          </c:val>
          <c:extLst>
            <c:ext xmlns:c16="http://schemas.microsoft.com/office/drawing/2014/chart" uri="{C3380CC4-5D6E-409C-BE32-E72D297353CC}">
              <c16:uniqueId val="{00000000-FE42-4A99-9517-14AFCF1D0632}"/>
            </c:ext>
          </c:extLst>
        </c:ser>
        <c:dLbls>
          <c:showLegendKey val="0"/>
          <c:showVal val="0"/>
          <c:showCatName val="0"/>
          <c:showSerName val="0"/>
          <c:showPercent val="0"/>
          <c:showBubbleSize val="0"/>
        </c:dLbls>
        <c:gapWidth val="219"/>
        <c:overlap val="-27"/>
        <c:axId val="771823632"/>
        <c:axId val="771820496"/>
      </c:barChart>
      <c:catAx>
        <c:axId val="7718236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71820496"/>
        <c:crosses val="autoZero"/>
        <c:auto val="1"/>
        <c:lblAlgn val="ctr"/>
        <c:lblOffset val="100"/>
        <c:noMultiLvlLbl val="0"/>
      </c:catAx>
      <c:valAx>
        <c:axId val="771820496"/>
        <c:scaling>
          <c:orientation val="minMax"/>
        </c:scaling>
        <c:delete val="1"/>
        <c:axPos val="l"/>
        <c:numFmt formatCode="#,##0" sourceLinked="1"/>
        <c:majorTickMark val="none"/>
        <c:minorTickMark val="none"/>
        <c:tickLblPos val="nextTo"/>
        <c:crossAx val="771823632"/>
        <c:crosses val="autoZero"/>
        <c:crossBetween val="between"/>
      </c:valAx>
      <c:spPr>
        <a:solidFill>
          <a:schemeClr val="bg1">
            <a:lumMod val="95000"/>
          </a:schemeClr>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Graphs!$C$91</c:f>
              <c:strCache>
                <c:ptCount val="1"/>
                <c:pt idx="0">
                  <c:v>This Round</c:v>
                </c:pt>
              </c:strCache>
            </c:strRef>
          </c:tx>
          <c:spPr>
            <a:solidFill>
              <a:schemeClr val="accent2"/>
            </a:solidFill>
            <a:ln>
              <a:noFill/>
            </a:ln>
            <a:effectLst/>
          </c:spPr>
          <c:invertIfNegative val="0"/>
          <c:val>
            <c:numRef>
              <c:f>Graphs!$D$91</c:f>
              <c:numCache>
                <c:formatCode>General</c:formatCode>
                <c:ptCount val="1"/>
                <c:pt idx="0">
                  <c:v>98.429999999999993</c:v>
                </c:pt>
              </c:numCache>
            </c:numRef>
          </c:val>
          <c:extLst>
            <c:ext xmlns:c16="http://schemas.microsoft.com/office/drawing/2014/chart" uri="{C3380CC4-5D6E-409C-BE32-E72D297353CC}">
              <c16:uniqueId val="{00000000-36CE-4F94-BF83-5EC84B4E99BE}"/>
            </c:ext>
          </c:extLst>
        </c:ser>
        <c:ser>
          <c:idx val="0"/>
          <c:order val="1"/>
          <c:tx>
            <c:strRef>
              <c:f>Graphs!$C$90</c:f>
              <c:strCache>
                <c:ptCount val="1"/>
                <c:pt idx="0">
                  <c:v>Last Round</c:v>
                </c:pt>
              </c:strCache>
            </c:strRef>
          </c:tx>
          <c:spPr>
            <a:solidFill>
              <a:schemeClr val="accent3">
                <a:lumMod val="20000"/>
                <a:lumOff val="80000"/>
              </a:schemeClr>
            </a:solidFill>
            <a:ln>
              <a:noFill/>
            </a:ln>
            <a:effectLst/>
          </c:spPr>
          <c:invertIfNegative val="0"/>
          <c:val>
            <c:numRef>
              <c:f>Graphs!$D$90</c:f>
              <c:numCache>
                <c:formatCode>General</c:formatCode>
                <c:ptCount val="1"/>
                <c:pt idx="0">
                  <c:v>100.785</c:v>
                </c:pt>
              </c:numCache>
            </c:numRef>
          </c:val>
          <c:extLst>
            <c:ext xmlns:c16="http://schemas.microsoft.com/office/drawing/2014/chart" uri="{C3380CC4-5D6E-409C-BE32-E72D297353CC}">
              <c16:uniqueId val="{00000001-36CE-4F94-BF83-5EC84B4E99BE}"/>
            </c:ext>
          </c:extLst>
        </c:ser>
        <c:dLbls>
          <c:showLegendKey val="0"/>
          <c:showVal val="0"/>
          <c:showCatName val="0"/>
          <c:showSerName val="0"/>
          <c:showPercent val="0"/>
          <c:showBubbleSize val="0"/>
        </c:dLbls>
        <c:gapWidth val="97"/>
        <c:axId val="771824808"/>
        <c:axId val="771818144"/>
      </c:barChart>
      <c:catAx>
        <c:axId val="771824808"/>
        <c:scaling>
          <c:orientation val="minMax"/>
        </c:scaling>
        <c:delete val="1"/>
        <c:axPos val="l"/>
        <c:numFmt formatCode="General" sourceLinked="1"/>
        <c:majorTickMark val="none"/>
        <c:minorTickMark val="none"/>
        <c:tickLblPos val="nextTo"/>
        <c:crossAx val="771818144"/>
        <c:crosses val="autoZero"/>
        <c:auto val="1"/>
        <c:lblAlgn val="ctr"/>
        <c:lblOffset val="100"/>
        <c:noMultiLvlLbl val="0"/>
      </c:catAx>
      <c:valAx>
        <c:axId val="771818144"/>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77182480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Graphs!$C$95</c:f>
              <c:strCache>
                <c:ptCount val="1"/>
                <c:pt idx="0">
                  <c:v>This Round</c:v>
                </c:pt>
              </c:strCache>
            </c:strRef>
          </c:tx>
          <c:spPr>
            <a:solidFill>
              <a:schemeClr val="accent2"/>
            </a:solidFill>
            <a:ln>
              <a:noFill/>
            </a:ln>
            <a:effectLst/>
          </c:spPr>
          <c:invertIfNegative val="0"/>
          <c:val>
            <c:numRef>
              <c:f>Graphs!$D$95</c:f>
              <c:numCache>
                <c:formatCode>General</c:formatCode>
                <c:ptCount val="1"/>
                <c:pt idx="0">
                  <c:v>91.679999999999993</c:v>
                </c:pt>
              </c:numCache>
            </c:numRef>
          </c:val>
          <c:extLst>
            <c:ext xmlns:c16="http://schemas.microsoft.com/office/drawing/2014/chart" uri="{C3380CC4-5D6E-409C-BE32-E72D297353CC}">
              <c16:uniqueId val="{00000001-14A2-4123-BDFA-36790B358A0C}"/>
            </c:ext>
          </c:extLst>
        </c:ser>
        <c:ser>
          <c:idx val="0"/>
          <c:order val="1"/>
          <c:tx>
            <c:strRef>
              <c:f>Graphs!$C$94</c:f>
              <c:strCache>
                <c:ptCount val="1"/>
                <c:pt idx="0">
                  <c:v>Last Round</c:v>
                </c:pt>
              </c:strCache>
            </c:strRef>
          </c:tx>
          <c:spPr>
            <a:solidFill>
              <a:schemeClr val="accent3">
                <a:lumMod val="20000"/>
                <a:lumOff val="80000"/>
              </a:schemeClr>
            </a:solidFill>
            <a:ln>
              <a:noFill/>
            </a:ln>
            <a:effectLst/>
          </c:spPr>
          <c:invertIfNegative val="0"/>
          <c:val>
            <c:numRef>
              <c:f>Graphs!$D$94</c:f>
              <c:numCache>
                <c:formatCode>General</c:formatCode>
                <c:ptCount val="1"/>
                <c:pt idx="0">
                  <c:v>97.41</c:v>
                </c:pt>
              </c:numCache>
            </c:numRef>
          </c:val>
          <c:extLst>
            <c:ext xmlns:c16="http://schemas.microsoft.com/office/drawing/2014/chart" uri="{C3380CC4-5D6E-409C-BE32-E72D297353CC}">
              <c16:uniqueId val="{00000003-14A2-4123-BDFA-36790B358A0C}"/>
            </c:ext>
          </c:extLst>
        </c:ser>
        <c:dLbls>
          <c:showLegendKey val="0"/>
          <c:showVal val="0"/>
          <c:showCatName val="0"/>
          <c:showSerName val="0"/>
          <c:showPercent val="0"/>
          <c:showBubbleSize val="0"/>
        </c:dLbls>
        <c:gapWidth val="97"/>
        <c:axId val="771818536"/>
        <c:axId val="771820888"/>
      </c:barChart>
      <c:catAx>
        <c:axId val="771818536"/>
        <c:scaling>
          <c:orientation val="minMax"/>
        </c:scaling>
        <c:delete val="1"/>
        <c:axPos val="l"/>
        <c:numFmt formatCode="General" sourceLinked="1"/>
        <c:majorTickMark val="none"/>
        <c:minorTickMark val="none"/>
        <c:tickLblPos val="nextTo"/>
        <c:crossAx val="771820888"/>
        <c:crosses val="autoZero"/>
        <c:auto val="1"/>
        <c:lblAlgn val="ctr"/>
        <c:lblOffset val="100"/>
        <c:noMultiLvlLbl val="0"/>
      </c:catAx>
      <c:valAx>
        <c:axId val="771820888"/>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771818536"/>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Graphs!$C$99</c:f>
              <c:strCache>
                <c:ptCount val="1"/>
                <c:pt idx="0">
                  <c:v>This Round</c:v>
                </c:pt>
              </c:strCache>
            </c:strRef>
          </c:tx>
          <c:spPr>
            <a:solidFill>
              <a:schemeClr val="accent2"/>
            </a:solidFill>
            <a:ln>
              <a:noFill/>
            </a:ln>
            <a:effectLst/>
          </c:spPr>
          <c:invertIfNegative val="0"/>
          <c:val>
            <c:numRef>
              <c:f>Graphs!$D$99</c:f>
              <c:numCache>
                <c:formatCode>General</c:formatCode>
                <c:ptCount val="1"/>
                <c:pt idx="0">
                  <c:v>93.929999999999993</c:v>
                </c:pt>
              </c:numCache>
            </c:numRef>
          </c:val>
          <c:extLst>
            <c:ext xmlns:c16="http://schemas.microsoft.com/office/drawing/2014/chart" uri="{C3380CC4-5D6E-409C-BE32-E72D297353CC}">
              <c16:uniqueId val="{00000001-F92D-452E-8DF5-168D66B06A1C}"/>
            </c:ext>
          </c:extLst>
        </c:ser>
        <c:ser>
          <c:idx val="0"/>
          <c:order val="1"/>
          <c:tx>
            <c:strRef>
              <c:f>Graphs!$C$98</c:f>
              <c:strCache>
                <c:ptCount val="1"/>
                <c:pt idx="0">
                  <c:v>Last Round</c:v>
                </c:pt>
              </c:strCache>
            </c:strRef>
          </c:tx>
          <c:spPr>
            <a:solidFill>
              <a:schemeClr val="accent3">
                <a:lumMod val="20000"/>
                <a:lumOff val="80000"/>
              </a:schemeClr>
            </a:solidFill>
            <a:ln>
              <a:noFill/>
            </a:ln>
            <a:effectLst/>
          </c:spPr>
          <c:invertIfNegative val="0"/>
          <c:val>
            <c:numRef>
              <c:f>Graphs!$D$98</c:f>
              <c:numCache>
                <c:formatCode>General</c:formatCode>
                <c:ptCount val="1"/>
                <c:pt idx="0">
                  <c:v>98.534999999999997</c:v>
                </c:pt>
              </c:numCache>
            </c:numRef>
          </c:val>
          <c:extLst>
            <c:ext xmlns:c16="http://schemas.microsoft.com/office/drawing/2014/chart" uri="{C3380CC4-5D6E-409C-BE32-E72D297353CC}">
              <c16:uniqueId val="{00000003-F92D-452E-8DF5-168D66B06A1C}"/>
            </c:ext>
          </c:extLst>
        </c:ser>
        <c:dLbls>
          <c:showLegendKey val="0"/>
          <c:showVal val="0"/>
          <c:showCatName val="0"/>
          <c:showSerName val="0"/>
          <c:showPercent val="0"/>
          <c:showBubbleSize val="0"/>
        </c:dLbls>
        <c:gapWidth val="97"/>
        <c:axId val="771821280"/>
        <c:axId val="771821672"/>
      </c:barChart>
      <c:catAx>
        <c:axId val="771821280"/>
        <c:scaling>
          <c:orientation val="minMax"/>
        </c:scaling>
        <c:delete val="1"/>
        <c:axPos val="l"/>
        <c:numFmt formatCode="General" sourceLinked="1"/>
        <c:majorTickMark val="none"/>
        <c:minorTickMark val="none"/>
        <c:tickLblPos val="nextTo"/>
        <c:crossAx val="771821672"/>
        <c:crosses val="autoZero"/>
        <c:auto val="1"/>
        <c:lblAlgn val="ctr"/>
        <c:lblOffset val="100"/>
        <c:noMultiLvlLbl val="0"/>
      </c:catAx>
      <c:valAx>
        <c:axId val="771821672"/>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771821280"/>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Graphs!$C$103</c:f>
              <c:strCache>
                <c:ptCount val="1"/>
                <c:pt idx="0">
                  <c:v>This Round</c:v>
                </c:pt>
              </c:strCache>
            </c:strRef>
          </c:tx>
          <c:spPr>
            <a:solidFill>
              <a:schemeClr val="accent2"/>
            </a:solidFill>
            <a:ln>
              <a:noFill/>
            </a:ln>
            <a:effectLst/>
          </c:spPr>
          <c:invertIfNegative val="0"/>
          <c:val>
            <c:numRef>
              <c:f>Graphs!$D$103</c:f>
              <c:numCache>
                <c:formatCode>General</c:formatCode>
                <c:ptCount val="1"/>
                <c:pt idx="0">
                  <c:v>96.179999999999993</c:v>
                </c:pt>
              </c:numCache>
            </c:numRef>
          </c:val>
          <c:extLst>
            <c:ext xmlns:c16="http://schemas.microsoft.com/office/drawing/2014/chart" uri="{C3380CC4-5D6E-409C-BE32-E72D297353CC}">
              <c16:uniqueId val="{00000001-0304-41BD-B142-D90077928C9C}"/>
            </c:ext>
          </c:extLst>
        </c:ser>
        <c:ser>
          <c:idx val="0"/>
          <c:order val="1"/>
          <c:tx>
            <c:strRef>
              <c:f>Graphs!$C$102</c:f>
              <c:strCache>
                <c:ptCount val="1"/>
                <c:pt idx="0">
                  <c:v>Last Round</c:v>
                </c:pt>
              </c:strCache>
            </c:strRef>
          </c:tx>
          <c:spPr>
            <a:solidFill>
              <a:schemeClr val="accent3">
                <a:lumMod val="20000"/>
                <a:lumOff val="80000"/>
              </a:schemeClr>
            </a:solidFill>
            <a:ln>
              <a:noFill/>
            </a:ln>
            <a:effectLst/>
          </c:spPr>
          <c:invertIfNegative val="0"/>
          <c:val>
            <c:numRef>
              <c:f>Graphs!$D$102</c:f>
              <c:numCache>
                <c:formatCode>General</c:formatCode>
                <c:ptCount val="1"/>
                <c:pt idx="0">
                  <c:v>99.66</c:v>
                </c:pt>
              </c:numCache>
            </c:numRef>
          </c:val>
          <c:extLst>
            <c:ext xmlns:c16="http://schemas.microsoft.com/office/drawing/2014/chart" uri="{C3380CC4-5D6E-409C-BE32-E72D297353CC}">
              <c16:uniqueId val="{00000003-0304-41BD-B142-D90077928C9C}"/>
            </c:ext>
          </c:extLst>
        </c:ser>
        <c:dLbls>
          <c:showLegendKey val="0"/>
          <c:showVal val="0"/>
          <c:showCatName val="0"/>
          <c:showSerName val="0"/>
          <c:showPercent val="0"/>
          <c:showBubbleSize val="0"/>
        </c:dLbls>
        <c:gapWidth val="97"/>
        <c:axId val="469927984"/>
        <c:axId val="469926416"/>
      </c:barChart>
      <c:catAx>
        <c:axId val="469927984"/>
        <c:scaling>
          <c:orientation val="minMax"/>
        </c:scaling>
        <c:delete val="1"/>
        <c:axPos val="l"/>
        <c:numFmt formatCode="General" sourceLinked="1"/>
        <c:majorTickMark val="none"/>
        <c:minorTickMark val="none"/>
        <c:tickLblPos val="nextTo"/>
        <c:crossAx val="469926416"/>
        <c:crosses val="autoZero"/>
        <c:auto val="1"/>
        <c:lblAlgn val="ctr"/>
        <c:lblOffset val="100"/>
        <c:noMultiLvlLbl val="0"/>
      </c:catAx>
      <c:valAx>
        <c:axId val="469926416"/>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469927984"/>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570428696413"/>
          <c:y val="0.22046296296296292"/>
          <c:w val="0.8450787401574803"/>
          <c:h val="0.41731686722183597"/>
        </c:manualLayout>
      </c:layout>
      <c:barChart>
        <c:barDir val="col"/>
        <c:grouping val="stacked"/>
        <c:varyColors val="0"/>
        <c:ser>
          <c:idx val="0"/>
          <c:order val="0"/>
          <c:tx>
            <c:strRef>
              <c:f>Graphs!$C$41</c:f>
              <c:strCache>
                <c:ptCount val="1"/>
                <c:pt idx="0">
                  <c:v>New </c:v>
                </c:pt>
              </c:strCache>
            </c:strRef>
          </c:tx>
          <c:spPr>
            <a:solidFill>
              <a:schemeClr val="accent1"/>
            </a:solidFill>
            <a:ln>
              <a:noFill/>
            </a:ln>
            <a:effectLst/>
          </c:spPr>
          <c:invertIfNegative val="0"/>
          <c:cat>
            <c:strRef>
              <c:f>Graphs!$D$40:$E$40</c:f>
              <c:strCache>
                <c:ptCount val="2"/>
                <c:pt idx="0">
                  <c:v>Productivity &amp; Business</c:v>
                </c:pt>
                <c:pt idx="1">
                  <c:v>Personal Computing</c:v>
                </c:pt>
              </c:strCache>
            </c:strRef>
          </c:cat>
          <c:val>
            <c:numRef>
              <c:f>Graphs!$D$41:$E$41</c:f>
              <c:numCache>
                <c:formatCode>#,##0</c:formatCode>
                <c:ptCount val="2"/>
                <c:pt idx="0">
                  <c:v>9646.9342200000101</c:v>
                </c:pt>
                <c:pt idx="1">
                  <c:v>176992.67520000006</c:v>
                </c:pt>
              </c:numCache>
            </c:numRef>
          </c:val>
          <c:extLst>
            <c:ext xmlns:c16="http://schemas.microsoft.com/office/drawing/2014/chart" uri="{C3380CC4-5D6E-409C-BE32-E72D297353CC}">
              <c16:uniqueId val="{00000000-C331-4A15-87E4-C98DD56923F8}"/>
            </c:ext>
          </c:extLst>
        </c:ser>
        <c:ser>
          <c:idx val="1"/>
          <c:order val="1"/>
          <c:tx>
            <c:strRef>
              <c:f>Graphs!$C$42</c:f>
              <c:strCache>
                <c:ptCount val="1"/>
                <c:pt idx="0">
                  <c:v>On-Premise </c:v>
                </c:pt>
              </c:strCache>
            </c:strRef>
          </c:tx>
          <c:spPr>
            <a:solidFill>
              <a:schemeClr val="accent2"/>
            </a:solidFill>
            <a:ln>
              <a:noFill/>
            </a:ln>
            <a:effectLst/>
          </c:spPr>
          <c:invertIfNegative val="0"/>
          <c:cat>
            <c:strRef>
              <c:f>Graphs!$D$40:$E$40</c:f>
              <c:strCache>
                <c:ptCount val="2"/>
                <c:pt idx="0">
                  <c:v>Productivity &amp; Business</c:v>
                </c:pt>
                <c:pt idx="1">
                  <c:v>Personal Computing</c:v>
                </c:pt>
              </c:strCache>
            </c:strRef>
          </c:cat>
          <c:val>
            <c:numRef>
              <c:f>Graphs!$D$42:$E$42</c:f>
              <c:numCache>
                <c:formatCode>#,##0</c:formatCode>
                <c:ptCount val="2"/>
                <c:pt idx="0">
                  <c:v>0</c:v>
                </c:pt>
              </c:numCache>
            </c:numRef>
          </c:val>
          <c:extLst>
            <c:ext xmlns:c16="http://schemas.microsoft.com/office/drawing/2014/chart" uri="{C3380CC4-5D6E-409C-BE32-E72D297353CC}">
              <c16:uniqueId val="{00000001-C331-4A15-87E4-C98DD56923F8}"/>
            </c:ext>
          </c:extLst>
        </c:ser>
        <c:ser>
          <c:idx val="2"/>
          <c:order val="2"/>
          <c:tx>
            <c:strRef>
              <c:f>Graphs!$C$43</c:f>
              <c:strCache>
                <c:ptCount val="1"/>
                <c:pt idx="0">
                  <c:v>Renewed </c:v>
                </c:pt>
              </c:strCache>
            </c:strRef>
          </c:tx>
          <c:spPr>
            <a:solidFill>
              <a:schemeClr val="accent3"/>
            </a:solidFill>
            <a:ln>
              <a:noFill/>
            </a:ln>
            <a:effectLst/>
          </c:spPr>
          <c:invertIfNegative val="0"/>
          <c:cat>
            <c:strRef>
              <c:f>Graphs!$D$40:$E$40</c:f>
              <c:strCache>
                <c:ptCount val="2"/>
                <c:pt idx="0">
                  <c:v>Productivity &amp; Business</c:v>
                </c:pt>
                <c:pt idx="1">
                  <c:v>Personal Computing</c:v>
                </c:pt>
              </c:strCache>
            </c:strRef>
          </c:cat>
          <c:val>
            <c:numRef>
              <c:f>Graphs!$D$43:$E$43</c:f>
              <c:numCache>
                <c:formatCode>#,##0</c:formatCode>
                <c:ptCount val="2"/>
                <c:pt idx="0">
                  <c:v>44169.600373673304</c:v>
                </c:pt>
              </c:numCache>
            </c:numRef>
          </c:val>
          <c:extLst>
            <c:ext xmlns:c16="http://schemas.microsoft.com/office/drawing/2014/chart" uri="{C3380CC4-5D6E-409C-BE32-E72D297353CC}">
              <c16:uniqueId val="{00000002-C331-4A15-87E4-C98DD56923F8}"/>
            </c:ext>
          </c:extLst>
        </c:ser>
        <c:ser>
          <c:idx val="3"/>
          <c:order val="3"/>
          <c:tx>
            <c:strRef>
              <c:f>Graphs!$C$44</c:f>
              <c:strCache>
                <c:ptCount val="1"/>
                <c:pt idx="0">
                  <c:v>Deferred </c:v>
                </c:pt>
              </c:strCache>
            </c:strRef>
          </c:tx>
          <c:spPr>
            <a:solidFill>
              <a:schemeClr val="accent4"/>
            </a:solidFill>
            <a:ln>
              <a:noFill/>
            </a:ln>
            <a:effectLst/>
          </c:spPr>
          <c:invertIfNegative val="0"/>
          <c:cat>
            <c:strRef>
              <c:f>Graphs!$D$40:$E$40</c:f>
              <c:strCache>
                <c:ptCount val="2"/>
                <c:pt idx="0">
                  <c:v>Productivity &amp; Business</c:v>
                </c:pt>
                <c:pt idx="1">
                  <c:v>Personal Computing</c:v>
                </c:pt>
              </c:strCache>
            </c:strRef>
          </c:cat>
          <c:val>
            <c:numRef>
              <c:f>Graphs!$D$44:$E$44</c:f>
              <c:numCache>
                <c:formatCode>#,##0</c:formatCode>
                <c:ptCount val="2"/>
                <c:pt idx="0">
                  <c:v>64019.125799999994</c:v>
                </c:pt>
              </c:numCache>
            </c:numRef>
          </c:val>
          <c:extLst>
            <c:ext xmlns:c16="http://schemas.microsoft.com/office/drawing/2014/chart" uri="{C3380CC4-5D6E-409C-BE32-E72D297353CC}">
              <c16:uniqueId val="{00000003-C331-4A15-87E4-C98DD56923F8}"/>
            </c:ext>
          </c:extLst>
        </c:ser>
        <c:dLbls>
          <c:showLegendKey val="0"/>
          <c:showVal val="0"/>
          <c:showCatName val="0"/>
          <c:showSerName val="0"/>
          <c:showPercent val="0"/>
          <c:showBubbleSize val="0"/>
        </c:dLbls>
        <c:gapWidth val="150"/>
        <c:overlap val="100"/>
        <c:axId val="469926808"/>
        <c:axId val="469925240"/>
      </c:barChart>
      <c:barChart>
        <c:barDir val="col"/>
        <c:grouping val="stacked"/>
        <c:varyColors val="0"/>
        <c:ser>
          <c:idx val="4"/>
          <c:order val="4"/>
          <c:tx>
            <c:strRef>
              <c:f>Graphs!$C$45</c:f>
              <c:strCache>
                <c:ptCount val="1"/>
                <c:pt idx="0">
                  <c:v>Total</c:v>
                </c:pt>
              </c:strCache>
            </c:strRef>
          </c:tx>
          <c:spPr>
            <a:no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Graphs!$D$40:$E$40</c:f>
              <c:strCache>
                <c:ptCount val="2"/>
                <c:pt idx="0">
                  <c:v>Productivity &amp; Business</c:v>
                </c:pt>
                <c:pt idx="1">
                  <c:v>Personal Computing</c:v>
                </c:pt>
              </c:strCache>
            </c:strRef>
          </c:cat>
          <c:val>
            <c:numRef>
              <c:f>Graphs!$D$45:$E$45</c:f>
              <c:numCache>
                <c:formatCode>#,##0</c:formatCode>
                <c:ptCount val="2"/>
                <c:pt idx="0">
                  <c:v>117835.66039367332</c:v>
                </c:pt>
                <c:pt idx="1">
                  <c:v>176992.67520000006</c:v>
                </c:pt>
              </c:numCache>
            </c:numRef>
          </c:val>
          <c:extLst>
            <c:ext xmlns:c16="http://schemas.microsoft.com/office/drawing/2014/chart" uri="{C3380CC4-5D6E-409C-BE32-E72D297353CC}">
              <c16:uniqueId val="{00000004-C331-4A15-87E4-C98DD56923F8}"/>
            </c:ext>
          </c:extLst>
        </c:ser>
        <c:dLbls>
          <c:showLegendKey val="0"/>
          <c:showVal val="0"/>
          <c:showCatName val="0"/>
          <c:showSerName val="0"/>
          <c:showPercent val="0"/>
          <c:showBubbleSize val="0"/>
        </c:dLbls>
        <c:gapWidth val="150"/>
        <c:overlap val="100"/>
        <c:axId val="469925632"/>
        <c:axId val="469922496"/>
      </c:barChart>
      <c:catAx>
        <c:axId val="469926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469925240"/>
        <c:crosses val="autoZero"/>
        <c:auto val="1"/>
        <c:lblAlgn val="ctr"/>
        <c:lblOffset val="100"/>
        <c:noMultiLvlLbl val="0"/>
      </c:catAx>
      <c:valAx>
        <c:axId val="469925240"/>
        <c:scaling>
          <c:orientation val="minMax"/>
          <c:max val="300000"/>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469926808"/>
        <c:crosses val="autoZero"/>
        <c:crossBetween val="between"/>
        <c:dispUnits>
          <c:builtInUnit val="thousands"/>
        </c:dispUnits>
      </c:valAx>
      <c:valAx>
        <c:axId val="469922496"/>
        <c:scaling>
          <c:orientation val="minMax"/>
          <c:max val="1"/>
          <c:min val="-5000000"/>
        </c:scaling>
        <c:delete val="0"/>
        <c:axPos val="r"/>
        <c:numFmt formatCode="&quot;$&quot;#,##0" sourceLinked="0"/>
        <c:majorTickMark val="out"/>
        <c:minorTickMark val="none"/>
        <c:tickLblPos val="none"/>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469925632"/>
        <c:crosses val="max"/>
        <c:crossBetween val="between"/>
        <c:dispUnits>
          <c:builtInUnit val="thousands"/>
        </c:dispUnits>
      </c:valAx>
      <c:catAx>
        <c:axId val="469925632"/>
        <c:scaling>
          <c:orientation val="minMax"/>
        </c:scaling>
        <c:delete val="1"/>
        <c:axPos val="b"/>
        <c:numFmt formatCode="General" sourceLinked="1"/>
        <c:majorTickMark val="out"/>
        <c:minorTickMark val="none"/>
        <c:tickLblPos val="nextTo"/>
        <c:crossAx val="469922496"/>
        <c:crosses val="autoZero"/>
        <c:auto val="1"/>
        <c:lblAlgn val="ctr"/>
        <c:lblOffset val="100"/>
        <c:noMultiLvlLbl val="0"/>
      </c:cat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875968992248062E-2"/>
          <c:w val="0.98186613913616883"/>
          <c:h val="0.67690990661051087"/>
        </c:manualLayout>
      </c:layout>
      <c:barChart>
        <c:barDir val="col"/>
        <c:grouping val="clustered"/>
        <c:varyColors val="0"/>
        <c:ser>
          <c:idx val="0"/>
          <c:order val="0"/>
          <c:tx>
            <c:strRef>
              <c:f>Graphs!$D$52</c:f>
              <c:strCache>
                <c:ptCount val="1"/>
                <c:pt idx="0">
                  <c:v>Last Round</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Graphs!$C$53:$C$55</c:f>
              <c:strCache>
                <c:ptCount val="3"/>
                <c:pt idx="0">
                  <c:v>Direct Sales FTEs</c:v>
                </c:pt>
                <c:pt idx="1">
                  <c:v>Inside Sales FTEs</c:v>
                </c:pt>
                <c:pt idx="2">
                  <c:v>Services FTEs</c:v>
                </c:pt>
              </c:strCache>
            </c:strRef>
          </c:cat>
          <c:val>
            <c:numRef>
              <c:f>Graphs!$D$53:$D$55</c:f>
              <c:numCache>
                <c:formatCode>General</c:formatCode>
                <c:ptCount val="3"/>
                <c:pt idx="0">
                  <c:v>190</c:v>
                </c:pt>
                <c:pt idx="1">
                  <c:v>90</c:v>
                </c:pt>
                <c:pt idx="2">
                  <c:v>110</c:v>
                </c:pt>
              </c:numCache>
            </c:numRef>
          </c:val>
          <c:extLst>
            <c:ext xmlns:c16="http://schemas.microsoft.com/office/drawing/2014/chart" uri="{C3380CC4-5D6E-409C-BE32-E72D297353CC}">
              <c16:uniqueId val="{00000001-88FD-4B51-9641-F54DC0D89B35}"/>
            </c:ext>
          </c:extLst>
        </c:ser>
        <c:ser>
          <c:idx val="1"/>
          <c:order val="1"/>
          <c:tx>
            <c:strRef>
              <c:f>Graphs!$E$52</c:f>
              <c:strCache>
                <c:ptCount val="1"/>
                <c:pt idx="0">
                  <c:v>This Round</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Graphs!$C$53:$C$55</c:f>
              <c:strCache>
                <c:ptCount val="3"/>
                <c:pt idx="0">
                  <c:v>Direct Sales FTEs</c:v>
                </c:pt>
                <c:pt idx="1">
                  <c:v>Inside Sales FTEs</c:v>
                </c:pt>
                <c:pt idx="2">
                  <c:v>Services FTEs</c:v>
                </c:pt>
              </c:strCache>
            </c:strRef>
          </c:cat>
          <c:val>
            <c:numRef>
              <c:f>Graphs!$E$53:$E$55</c:f>
              <c:numCache>
                <c:formatCode>General</c:formatCode>
                <c:ptCount val="3"/>
                <c:pt idx="0">
                  <c:v>190</c:v>
                </c:pt>
                <c:pt idx="1">
                  <c:v>90</c:v>
                </c:pt>
                <c:pt idx="2">
                  <c:v>110</c:v>
                </c:pt>
              </c:numCache>
            </c:numRef>
          </c:val>
          <c:extLst>
            <c:ext xmlns:c16="http://schemas.microsoft.com/office/drawing/2014/chart" uri="{C3380CC4-5D6E-409C-BE32-E72D297353CC}">
              <c16:uniqueId val="{00000003-88FD-4B51-9641-F54DC0D89B35}"/>
            </c:ext>
          </c:extLst>
        </c:ser>
        <c:ser>
          <c:idx val="2"/>
          <c:order val="2"/>
          <c:tx>
            <c:strRef>
              <c:f>Graphs!$F$52</c:f>
              <c:strCache>
                <c:ptCount val="1"/>
                <c:pt idx="0">
                  <c:v>Industry Average</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Graphs!$C$53:$C$55</c:f>
              <c:strCache>
                <c:ptCount val="3"/>
                <c:pt idx="0">
                  <c:v>Direct Sales FTEs</c:v>
                </c:pt>
                <c:pt idx="1">
                  <c:v>Inside Sales FTEs</c:v>
                </c:pt>
                <c:pt idx="2">
                  <c:v>Services FTEs</c:v>
                </c:pt>
              </c:strCache>
            </c:strRef>
          </c:cat>
          <c:val>
            <c:numRef>
              <c:f>Graphs!$F$53:$F$55</c:f>
              <c:numCache>
                <c:formatCode>General</c:formatCode>
                <c:ptCount val="3"/>
                <c:pt idx="0">
                  <c:v>143</c:v>
                </c:pt>
                <c:pt idx="1">
                  <c:v>113</c:v>
                </c:pt>
                <c:pt idx="2">
                  <c:v>127</c:v>
                </c:pt>
              </c:numCache>
            </c:numRef>
          </c:val>
          <c:extLst>
            <c:ext xmlns:c16="http://schemas.microsoft.com/office/drawing/2014/chart" uri="{C3380CC4-5D6E-409C-BE32-E72D297353CC}">
              <c16:uniqueId val="{00000005-88FD-4B51-9641-F54DC0D89B35}"/>
            </c:ext>
          </c:extLst>
        </c:ser>
        <c:dLbls>
          <c:dLblPos val="outEnd"/>
          <c:showLegendKey val="0"/>
          <c:showVal val="1"/>
          <c:showCatName val="0"/>
          <c:showSerName val="0"/>
          <c:showPercent val="0"/>
          <c:showBubbleSize val="0"/>
        </c:dLbls>
        <c:gapWidth val="219"/>
        <c:overlap val="-27"/>
        <c:axId val="469926024"/>
        <c:axId val="469924456"/>
      </c:barChart>
      <c:catAx>
        <c:axId val="469926024"/>
        <c:scaling>
          <c:orientation val="minMax"/>
        </c:scaling>
        <c:delete val="1"/>
        <c:axPos val="b"/>
        <c:numFmt formatCode="General" sourceLinked="1"/>
        <c:majorTickMark val="none"/>
        <c:minorTickMark val="none"/>
        <c:tickLblPos val="nextTo"/>
        <c:crossAx val="469924456"/>
        <c:crosses val="autoZero"/>
        <c:auto val="1"/>
        <c:lblAlgn val="ctr"/>
        <c:lblOffset val="100"/>
        <c:noMultiLvlLbl val="0"/>
      </c:catAx>
      <c:valAx>
        <c:axId val="469924456"/>
        <c:scaling>
          <c:orientation val="minMax"/>
          <c:max val="500"/>
        </c:scaling>
        <c:delete val="1"/>
        <c:axPos val="l"/>
        <c:numFmt formatCode="General" sourceLinked="1"/>
        <c:majorTickMark val="out"/>
        <c:minorTickMark val="none"/>
        <c:tickLblPos val="nextTo"/>
        <c:crossAx val="469926024"/>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875968992248062E-2"/>
          <c:w val="0.98186613913616883"/>
          <c:h val="0.67690990661051087"/>
        </c:manualLayout>
      </c:layout>
      <c:barChart>
        <c:barDir val="bar"/>
        <c:grouping val="clustered"/>
        <c:varyColors val="0"/>
        <c:ser>
          <c:idx val="0"/>
          <c:order val="0"/>
          <c:tx>
            <c:strRef>
              <c:f>Graphs!$F$47</c:f>
              <c:strCache>
                <c:ptCount val="1"/>
                <c:pt idx="0">
                  <c:v>Industry Average</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Graphs!$C$48:$C$49</c:f>
              <c:strCache>
                <c:ptCount val="2"/>
                <c:pt idx="0">
                  <c:v>Consultative Skills</c:v>
                </c:pt>
                <c:pt idx="1">
                  <c:v>Technical Expertise</c:v>
                </c:pt>
              </c:strCache>
            </c:strRef>
          </c:cat>
          <c:val>
            <c:numRef>
              <c:f>Graphs!$F$48:$F$49</c:f>
              <c:numCache>
                <c:formatCode>General</c:formatCode>
                <c:ptCount val="2"/>
                <c:pt idx="0">
                  <c:v>6.25</c:v>
                </c:pt>
                <c:pt idx="1">
                  <c:v>6</c:v>
                </c:pt>
              </c:numCache>
            </c:numRef>
          </c:val>
          <c:extLst>
            <c:ext xmlns:c16="http://schemas.microsoft.com/office/drawing/2014/chart" uri="{C3380CC4-5D6E-409C-BE32-E72D297353CC}">
              <c16:uniqueId val="{00000001-1643-4E62-AEE2-9EA45AEC4996}"/>
            </c:ext>
          </c:extLst>
        </c:ser>
        <c:ser>
          <c:idx val="1"/>
          <c:order val="1"/>
          <c:tx>
            <c:strRef>
              <c:f>Graphs!$D$47</c:f>
              <c:strCache>
                <c:ptCount val="1"/>
                <c:pt idx="0">
                  <c:v>Last Round</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Graphs!$C$48:$C$49</c:f>
              <c:strCache>
                <c:ptCount val="2"/>
                <c:pt idx="0">
                  <c:v>Consultative Skills</c:v>
                </c:pt>
                <c:pt idx="1">
                  <c:v>Technical Expertise</c:v>
                </c:pt>
              </c:strCache>
            </c:strRef>
          </c:cat>
          <c:val>
            <c:numRef>
              <c:f>Graphs!$D$48:$D$49</c:f>
              <c:numCache>
                <c:formatCode>General</c:formatCode>
                <c:ptCount val="2"/>
                <c:pt idx="0">
                  <c:v>5</c:v>
                </c:pt>
                <c:pt idx="1">
                  <c:v>8</c:v>
                </c:pt>
              </c:numCache>
            </c:numRef>
          </c:val>
          <c:extLst>
            <c:ext xmlns:c16="http://schemas.microsoft.com/office/drawing/2014/chart" uri="{C3380CC4-5D6E-409C-BE32-E72D297353CC}">
              <c16:uniqueId val="{00000003-1643-4E62-AEE2-9EA45AEC4996}"/>
            </c:ext>
          </c:extLst>
        </c:ser>
        <c:ser>
          <c:idx val="2"/>
          <c:order val="2"/>
          <c:tx>
            <c:strRef>
              <c:f>Graphs!$E$47</c:f>
              <c:strCache>
                <c:ptCount val="1"/>
                <c:pt idx="0">
                  <c:v>This Round</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Graphs!$C$48:$C$49</c:f>
              <c:strCache>
                <c:ptCount val="2"/>
                <c:pt idx="0">
                  <c:v>Consultative Skills</c:v>
                </c:pt>
                <c:pt idx="1">
                  <c:v>Technical Expertise</c:v>
                </c:pt>
              </c:strCache>
            </c:strRef>
          </c:cat>
          <c:val>
            <c:numRef>
              <c:f>Graphs!$E$48:$E$49</c:f>
              <c:numCache>
                <c:formatCode>General</c:formatCode>
                <c:ptCount val="2"/>
                <c:pt idx="0">
                  <c:v>5</c:v>
                </c:pt>
                <c:pt idx="1">
                  <c:v>8</c:v>
                </c:pt>
              </c:numCache>
            </c:numRef>
          </c:val>
          <c:extLst>
            <c:ext xmlns:c16="http://schemas.microsoft.com/office/drawing/2014/chart" uri="{C3380CC4-5D6E-409C-BE32-E72D297353CC}">
              <c16:uniqueId val="{00000005-1643-4E62-AEE2-9EA45AEC4996}"/>
            </c:ext>
          </c:extLst>
        </c:ser>
        <c:dLbls>
          <c:dLblPos val="outEnd"/>
          <c:showLegendKey val="0"/>
          <c:showVal val="1"/>
          <c:showCatName val="0"/>
          <c:showSerName val="0"/>
          <c:showPercent val="0"/>
          <c:showBubbleSize val="0"/>
        </c:dLbls>
        <c:gapWidth val="219"/>
        <c:axId val="469927200"/>
        <c:axId val="469927592"/>
      </c:barChart>
      <c:catAx>
        <c:axId val="469927200"/>
        <c:scaling>
          <c:orientation val="minMax"/>
        </c:scaling>
        <c:delete val="1"/>
        <c:axPos val="l"/>
        <c:numFmt formatCode="General" sourceLinked="1"/>
        <c:majorTickMark val="none"/>
        <c:minorTickMark val="none"/>
        <c:tickLblPos val="nextTo"/>
        <c:crossAx val="469927592"/>
        <c:crosses val="autoZero"/>
        <c:auto val="1"/>
        <c:lblAlgn val="ctr"/>
        <c:lblOffset val="100"/>
        <c:noMultiLvlLbl val="0"/>
      </c:catAx>
      <c:valAx>
        <c:axId val="469927592"/>
        <c:scaling>
          <c:orientation val="minMax"/>
        </c:scaling>
        <c:delete val="1"/>
        <c:axPos val="b"/>
        <c:numFmt formatCode="General" sourceLinked="1"/>
        <c:majorTickMark val="none"/>
        <c:minorTickMark val="none"/>
        <c:tickLblPos val="nextTo"/>
        <c:crossAx val="469927200"/>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Graphs!$C$91</c:f>
              <c:strCache>
                <c:ptCount val="1"/>
                <c:pt idx="0">
                  <c:v>This Round</c:v>
                </c:pt>
              </c:strCache>
            </c:strRef>
          </c:tx>
          <c:spPr>
            <a:solidFill>
              <a:schemeClr val="accent2"/>
            </a:solidFill>
            <a:ln>
              <a:noFill/>
            </a:ln>
            <a:effectLst/>
          </c:spPr>
          <c:invertIfNegative val="0"/>
          <c:val>
            <c:numRef>
              <c:f>Graphs!$D$91</c:f>
              <c:numCache>
                <c:formatCode>General</c:formatCode>
                <c:ptCount val="1"/>
                <c:pt idx="0">
                  <c:v>98.429999999999993</c:v>
                </c:pt>
              </c:numCache>
            </c:numRef>
          </c:val>
          <c:extLst>
            <c:ext xmlns:c16="http://schemas.microsoft.com/office/drawing/2014/chart" uri="{C3380CC4-5D6E-409C-BE32-E72D297353CC}">
              <c16:uniqueId val="{00000001-9508-4E6C-AE87-E206615953A7}"/>
            </c:ext>
          </c:extLst>
        </c:ser>
        <c:ser>
          <c:idx val="0"/>
          <c:order val="1"/>
          <c:tx>
            <c:strRef>
              <c:f>Graphs!$C$90</c:f>
              <c:strCache>
                <c:ptCount val="1"/>
                <c:pt idx="0">
                  <c:v>Last Round</c:v>
                </c:pt>
              </c:strCache>
            </c:strRef>
          </c:tx>
          <c:spPr>
            <a:solidFill>
              <a:schemeClr val="accent3">
                <a:lumMod val="20000"/>
                <a:lumOff val="80000"/>
              </a:schemeClr>
            </a:solidFill>
            <a:ln>
              <a:noFill/>
            </a:ln>
            <a:effectLst/>
          </c:spPr>
          <c:invertIfNegative val="0"/>
          <c:val>
            <c:numRef>
              <c:f>Graphs!$D$90</c:f>
              <c:numCache>
                <c:formatCode>General</c:formatCode>
                <c:ptCount val="1"/>
                <c:pt idx="0">
                  <c:v>100.785</c:v>
                </c:pt>
              </c:numCache>
            </c:numRef>
          </c:val>
          <c:extLst>
            <c:ext xmlns:c16="http://schemas.microsoft.com/office/drawing/2014/chart" uri="{C3380CC4-5D6E-409C-BE32-E72D297353CC}">
              <c16:uniqueId val="{00000003-9508-4E6C-AE87-E206615953A7}"/>
            </c:ext>
          </c:extLst>
        </c:ser>
        <c:dLbls>
          <c:showLegendKey val="0"/>
          <c:showVal val="0"/>
          <c:showCatName val="0"/>
          <c:showSerName val="0"/>
          <c:showPercent val="0"/>
          <c:showBubbleSize val="0"/>
        </c:dLbls>
        <c:gapWidth val="97"/>
        <c:axId val="242434048"/>
        <c:axId val="242429344"/>
      </c:barChart>
      <c:catAx>
        <c:axId val="242434048"/>
        <c:scaling>
          <c:orientation val="minMax"/>
        </c:scaling>
        <c:delete val="1"/>
        <c:axPos val="l"/>
        <c:numFmt formatCode="General" sourceLinked="1"/>
        <c:majorTickMark val="none"/>
        <c:minorTickMark val="none"/>
        <c:tickLblPos val="nextTo"/>
        <c:crossAx val="242429344"/>
        <c:crosses val="autoZero"/>
        <c:auto val="1"/>
        <c:lblAlgn val="ctr"/>
        <c:lblOffset val="100"/>
        <c:noMultiLvlLbl val="0"/>
      </c:catAx>
      <c:valAx>
        <c:axId val="242429344"/>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24243404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Graphs!$C$95</c:f>
              <c:strCache>
                <c:ptCount val="1"/>
                <c:pt idx="0">
                  <c:v>This Round</c:v>
                </c:pt>
              </c:strCache>
            </c:strRef>
          </c:tx>
          <c:spPr>
            <a:solidFill>
              <a:schemeClr val="accent2"/>
            </a:solidFill>
            <a:ln>
              <a:noFill/>
            </a:ln>
            <a:effectLst/>
          </c:spPr>
          <c:invertIfNegative val="0"/>
          <c:val>
            <c:numRef>
              <c:f>Graphs!$D$95</c:f>
              <c:numCache>
                <c:formatCode>General</c:formatCode>
                <c:ptCount val="1"/>
                <c:pt idx="0">
                  <c:v>91.679999999999993</c:v>
                </c:pt>
              </c:numCache>
            </c:numRef>
          </c:val>
          <c:extLst>
            <c:ext xmlns:c16="http://schemas.microsoft.com/office/drawing/2014/chart" uri="{C3380CC4-5D6E-409C-BE32-E72D297353CC}">
              <c16:uniqueId val="{00000001-D32D-4424-B47F-9CAFFE482741}"/>
            </c:ext>
          </c:extLst>
        </c:ser>
        <c:ser>
          <c:idx val="0"/>
          <c:order val="1"/>
          <c:tx>
            <c:strRef>
              <c:f>Graphs!$C$94</c:f>
              <c:strCache>
                <c:ptCount val="1"/>
                <c:pt idx="0">
                  <c:v>Last Round</c:v>
                </c:pt>
              </c:strCache>
            </c:strRef>
          </c:tx>
          <c:spPr>
            <a:solidFill>
              <a:schemeClr val="accent3">
                <a:lumMod val="20000"/>
                <a:lumOff val="80000"/>
              </a:schemeClr>
            </a:solidFill>
            <a:ln>
              <a:noFill/>
            </a:ln>
            <a:effectLst/>
          </c:spPr>
          <c:invertIfNegative val="0"/>
          <c:val>
            <c:numRef>
              <c:f>Graphs!$D$94</c:f>
              <c:numCache>
                <c:formatCode>General</c:formatCode>
                <c:ptCount val="1"/>
                <c:pt idx="0">
                  <c:v>97.41</c:v>
                </c:pt>
              </c:numCache>
            </c:numRef>
          </c:val>
          <c:extLst>
            <c:ext xmlns:c16="http://schemas.microsoft.com/office/drawing/2014/chart" uri="{C3380CC4-5D6E-409C-BE32-E72D297353CC}">
              <c16:uniqueId val="{00000003-D32D-4424-B47F-9CAFFE482741}"/>
            </c:ext>
          </c:extLst>
        </c:ser>
        <c:dLbls>
          <c:showLegendKey val="0"/>
          <c:showVal val="0"/>
          <c:showCatName val="0"/>
          <c:showSerName val="0"/>
          <c:showPercent val="0"/>
          <c:showBubbleSize val="0"/>
        </c:dLbls>
        <c:gapWidth val="97"/>
        <c:axId val="242432088"/>
        <c:axId val="242432480"/>
      </c:barChart>
      <c:catAx>
        <c:axId val="242432088"/>
        <c:scaling>
          <c:orientation val="minMax"/>
        </c:scaling>
        <c:delete val="1"/>
        <c:axPos val="l"/>
        <c:numFmt formatCode="General" sourceLinked="1"/>
        <c:majorTickMark val="none"/>
        <c:minorTickMark val="none"/>
        <c:tickLblPos val="nextTo"/>
        <c:crossAx val="242432480"/>
        <c:crosses val="autoZero"/>
        <c:auto val="1"/>
        <c:lblAlgn val="ctr"/>
        <c:lblOffset val="100"/>
        <c:noMultiLvlLbl val="0"/>
      </c:catAx>
      <c:valAx>
        <c:axId val="242432480"/>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24243208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Graphs!$C$99</c:f>
              <c:strCache>
                <c:ptCount val="1"/>
                <c:pt idx="0">
                  <c:v>This Round</c:v>
                </c:pt>
              </c:strCache>
            </c:strRef>
          </c:tx>
          <c:spPr>
            <a:solidFill>
              <a:schemeClr val="accent2"/>
            </a:solidFill>
            <a:ln>
              <a:noFill/>
            </a:ln>
            <a:effectLst/>
          </c:spPr>
          <c:invertIfNegative val="0"/>
          <c:val>
            <c:numRef>
              <c:f>Graphs!$D$99</c:f>
              <c:numCache>
                <c:formatCode>General</c:formatCode>
                <c:ptCount val="1"/>
                <c:pt idx="0">
                  <c:v>93.929999999999993</c:v>
                </c:pt>
              </c:numCache>
            </c:numRef>
          </c:val>
          <c:extLst>
            <c:ext xmlns:c16="http://schemas.microsoft.com/office/drawing/2014/chart" uri="{C3380CC4-5D6E-409C-BE32-E72D297353CC}">
              <c16:uniqueId val="{00000001-320C-4539-9017-B93EF6B667AE}"/>
            </c:ext>
          </c:extLst>
        </c:ser>
        <c:ser>
          <c:idx val="0"/>
          <c:order val="1"/>
          <c:tx>
            <c:strRef>
              <c:f>Graphs!$C$98</c:f>
              <c:strCache>
                <c:ptCount val="1"/>
                <c:pt idx="0">
                  <c:v>Last Round</c:v>
                </c:pt>
              </c:strCache>
            </c:strRef>
          </c:tx>
          <c:spPr>
            <a:solidFill>
              <a:schemeClr val="accent3">
                <a:lumMod val="20000"/>
                <a:lumOff val="80000"/>
              </a:schemeClr>
            </a:solidFill>
            <a:ln>
              <a:noFill/>
            </a:ln>
            <a:effectLst/>
          </c:spPr>
          <c:invertIfNegative val="0"/>
          <c:val>
            <c:numRef>
              <c:f>Graphs!$D$98</c:f>
              <c:numCache>
                <c:formatCode>General</c:formatCode>
                <c:ptCount val="1"/>
                <c:pt idx="0">
                  <c:v>98.534999999999997</c:v>
                </c:pt>
              </c:numCache>
            </c:numRef>
          </c:val>
          <c:extLst>
            <c:ext xmlns:c16="http://schemas.microsoft.com/office/drawing/2014/chart" uri="{C3380CC4-5D6E-409C-BE32-E72D297353CC}">
              <c16:uniqueId val="{00000003-320C-4539-9017-B93EF6B667AE}"/>
            </c:ext>
          </c:extLst>
        </c:ser>
        <c:dLbls>
          <c:showLegendKey val="0"/>
          <c:showVal val="0"/>
          <c:showCatName val="0"/>
          <c:showSerName val="0"/>
          <c:showPercent val="0"/>
          <c:showBubbleSize val="0"/>
        </c:dLbls>
        <c:gapWidth val="97"/>
        <c:axId val="242428168"/>
        <c:axId val="242428560"/>
      </c:barChart>
      <c:catAx>
        <c:axId val="242428168"/>
        <c:scaling>
          <c:orientation val="minMax"/>
        </c:scaling>
        <c:delete val="1"/>
        <c:axPos val="l"/>
        <c:numFmt formatCode="General" sourceLinked="1"/>
        <c:majorTickMark val="none"/>
        <c:minorTickMark val="none"/>
        <c:tickLblPos val="nextTo"/>
        <c:crossAx val="242428560"/>
        <c:crosses val="autoZero"/>
        <c:auto val="1"/>
        <c:lblAlgn val="ctr"/>
        <c:lblOffset val="100"/>
        <c:noMultiLvlLbl val="0"/>
      </c:catAx>
      <c:valAx>
        <c:axId val="242428560"/>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24242816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48809794729412E-2"/>
          <c:y val="0.29258699517399034"/>
          <c:w val="0.89767441860465114"/>
          <c:h val="0.47679641859283717"/>
        </c:manualLayout>
      </c:layout>
      <c:barChart>
        <c:barDir val="bar"/>
        <c:grouping val="clustered"/>
        <c:varyColors val="0"/>
        <c:ser>
          <c:idx val="1"/>
          <c:order val="0"/>
          <c:tx>
            <c:strRef>
              <c:f>Graphs!$C$103</c:f>
              <c:strCache>
                <c:ptCount val="1"/>
                <c:pt idx="0">
                  <c:v>This Round</c:v>
                </c:pt>
              </c:strCache>
            </c:strRef>
          </c:tx>
          <c:spPr>
            <a:solidFill>
              <a:schemeClr val="accent2"/>
            </a:solidFill>
            <a:ln>
              <a:noFill/>
            </a:ln>
            <a:effectLst/>
          </c:spPr>
          <c:invertIfNegative val="0"/>
          <c:val>
            <c:numRef>
              <c:f>Graphs!$D$103</c:f>
              <c:numCache>
                <c:formatCode>General</c:formatCode>
                <c:ptCount val="1"/>
                <c:pt idx="0">
                  <c:v>96.179999999999993</c:v>
                </c:pt>
              </c:numCache>
            </c:numRef>
          </c:val>
          <c:extLst>
            <c:ext xmlns:c16="http://schemas.microsoft.com/office/drawing/2014/chart" uri="{C3380CC4-5D6E-409C-BE32-E72D297353CC}">
              <c16:uniqueId val="{00000001-3780-4C27-B13E-2682BEFFFDD5}"/>
            </c:ext>
          </c:extLst>
        </c:ser>
        <c:ser>
          <c:idx val="0"/>
          <c:order val="1"/>
          <c:tx>
            <c:strRef>
              <c:f>Graphs!$C$102</c:f>
              <c:strCache>
                <c:ptCount val="1"/>
                <c:pt idx="0">
                  <c:v>Last Round</c:v>
                </c:pt>
              </c:strCache>
            </c:strRef>
          </c:tx>
          <c:spPr>
            <a:solidFill>
              <a:schemeClr val="accent3">
                <a:lumMod val="20000"/>
                <a:lumOff val="80000"/>
              </a:schemeClr>
            </a:solidFill>
            <a:ln>
              <a:noFill/>
            </a:ln>
            <a:effectLst/>
          </c:spPr>
          <c:invertIfNegative val="0"/>
          <c:val>
            <c:numRef>
              <c:f>Graphs!$D$102</c:f>
              <c:numCache>
                <c:formatCode>General</c:formatCode>
                <c:ptCount val="1"/>
                <c:pt idx="0">
                  <c:v>99.66</c:v>
                </c:pt>
              </c:numCache>
            </c:numRef>
          </c:val>
          <c:extLst>
            <c:ext xmlns:c16="http://schemas.microsoft.com/office/drawing/2014/chart" uri="{C3380CC4-5D6E-409C-BE32-E72D297353CC}">
              <c16:uniqueId val="{00000003-3780-4C27-B13E-2682BEFFFDD5}"/>
            </c:ext>
          </c:extLst>
        </c:ser>
        <c:dLbls>
          <c:showLegendKey val="0"/>
          <c:showVal val="0"/>
          <c:showCatName val="0"/>
          <c:showSerName val="0"/>
          <c:showPercent val="0"/>
          <c:showBubbleSize val="0"/>
        </c:dLbls>
        <c:gapWidth val="97"/>
        <c:axId val="242430128"/>
        <c:axId val="662539864"/>
      </c:barChart>
      <c:catAx>
        <c:axId val="242430128"/>
        <c:scaling>
          <c:orientation val="minMax"/>
        </c:scaling>
        <c:delete val="1"/>
        <c:axPos val="l"/>
        <c:numFmt formatCode="General" sourceLinked="1"/>
        <c:majorTickMark val="none"/>
        <c:minorTickMark val="none"/>
        <c:tickLblPos val="nextTo"/>
        <c:crossAx val="662539864"/>
        <c:crosses val="autoZero"/>
        <c:auto val="1"/>
        <c:lblAlgn val="ctr"/>
        <c:lblOffset val="100"/>
        <c:noMultiLvlLbl val="0"/>
      </c:catAx>
      <c:valAx>
        <c:axId val="662539864"/>
        <c:scaling>
          <c:orientation val="minMax"/>
          <c:max val="120"/>
          <c:min val="80"/>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j-lt"/>
                <a:ea typeface="+mn-ea"/>
                <a:cs typeface="+mn-cs"/>
              </a:defRPr>
            </a:pPr>
            <a:endParaRPr lang="en-US"/>
          </a:p>
        </c:txPr>
        <c:crossAx val="242430128"/>
        <c:crosses val="autoZero"/>
        <c:crossBetween val="between"/>
      </c:valAx>
      <c:spPr>
        <a:solidFill>
          <a:schemeClr val="bg1">
            <a:lumMod val="95000"/>
          </a:schemeClr>
        </a:solidFill>
        <a:ln w="25400">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600" b="1">
          <a:solidFill>
            <a:sysClr val="windowText" lastClr="000000"/>
          </a:solidFill>
          <a:latin typeface="+mj-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Nimbus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Data!$E$132:$H$132</c:f>
              <c:strCache>
                <c:ptCount val="4"/>
                <c:pt idx="0">
                  <c:v>R0</c:v>
                </c:pt>
                <c:pt idx="1">
                  <c:v>R1</c:v>
                </c:pt>
                <c:pt idx="2">
                  <c:v>R2</c:v>
                </c:pt>
                <c:pt idx="3">
                  <c:v>R3</c:v>
                </c:pt>
              </c:strCache>
            </c:strRef>
          </c:cat>
          <c:val>
            <c:numRef>
              <c:f>Data!$E$133:$H$133</c:f>
              <c:numCache>
                <c:formatCode>"$"#,##0_);[Red]\("$"#,##0\)</c:formatCode>
                <c:ptCount val="4"/>
                <c:pt idx="0">
                  <c:v>950000000</c:v>
                </c:pt>
                <c:pt idx="1">
                  <c:v>1056970000</c:v>
                </c:pt>
                <c:pt idx="2">
                  <c:v>1150911700</c:v>
                </c:pt>
                <c:pt idx="3">
                  <c:v>1292012597</c:v>
                </c:pt>
              </c:numCache>
            </c:numRef>
          </c:val>
          <c:extLst>
            <c:ext xmlns:c16="http://schemas.microsoft.com/office/drawing/2014/chart" uri="{C3380CC4-5D6E-409C-BE32-E72D297353CC}">
              <c16:uniqueId val="{00000000-72F5-47DF-90CB-5428B4DB2D98}"/>
            </c:ext>
          </c:extLst>
        </c:ser>
        <c:dLbls>
          <c:showLegendKey val="0"/>
          <c:showVal val="0"/>
          <c:showCatName val="0"/>
          <c:showSerName val="0"/>
          <c:showPercent val="0"/>
          <c:showBubbleSize val="0"/>
        </c:dLbls>
        <c:gapWidth val="150"/>
        <c:axId val="775687600"/>
        <c:axId val="775695832"/>
      </c:barChart>
      <c:lineChart>
        <c:grouping val="standard"/>
        <c:varyColors val="0"/>
        <c:ser>
          <c:idx val="1"/>
          <c:order val="1"/>
          <c:spPr>
            <a:ln w="28575" cap="rnd">
              <a:solidFill>
                <a:schemeClr val="accent2"/>
              </a:solidFill>
              <a:round/>
            </a:ln>
            <a:effectLst/>
          </c:spPr>
          <c:marker>
            <c:symbol val="none"/>
          </c:marker>
          <c:cat>
            <c:strRef>
              <c:f>Data!$E$132:$H$132</c:f>
              <c:strCache>
                <c:ptCount val="4"/>
                <c:pt idx="0">
                  <c:v>R0</c:v>
                </c:pt>
                <c:pt idx="1">
                  <c:v>R1</c:v>
                </c:pt>
                <c:pt idx="2">
                  <c:v>R2</c:v>
                </c:pt>
                <c:pt idx="3">
                  <c:v>R3</c:v>
                </c:pt>
              </c:strCache>
            </c:strRef>
          </c:cat>
          <c:val>
            <c:numRef>
              <c:f>Data!$E$134:$H$134</c:f>
              <c:numCache>
                <c:formatCode>0%</c:formatCode>
                <c:ptCount val="4"/>
                <c:pt idx="0">
                  <c:v>7.0000000000000007E-2</c:v>
                </c:pt>
                <c:pt idx="1">
                  <c:v>0.10120438612259572</c:v>
                </c:pt>
                <c:pt idx="2">
                  <c:v>8.1623724913040679E-2</c:v>
                </c:pt>
                <c:pt idx="3">
                  <c:v>0.10921015578921635</c:v>
                </c:pt>
              </c:numCache>
            </c:numRef>
          </c:val>
          <c:smooth val="0"/>
          <c:extLst>
            <c:ext xmlns:c16="http://schemas.microsoft.com/office/drawing/2014/chart" uri="{C3380CC4-5D6E-409C-BE32-E72D297353CC}">
              <c16:uniqueId val="{00000001-72F5-47DF-90CB-5428B4DB2D98}"/>
            </c:ext>
          </c:extLst>
        </c:ser>
        <c:dLbls>
          <c:showLegendKey val="0"/>
          <c:showVal val="0"/>
          <c:showCatName val="0"/>
          <c:showSerName val="0"/>
          <c:showPercent val="0"/>
          <c:showBubbleSize val="0"/>
        </c:dLbls>
        <c:marker val="1"/>
        <c:smooth val="0"/>
        <c:axId val="775686816"/>
        <c:axId val="775697008"/>
      </c:lineChart>
      <c:catAx>
        <c:axId val="77568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5695832"/>
        <c:crosses val="autoZero"/>
        <c:auto val="1"/>
        <c:lblAlgn val="ctr"/>
        <c:lblOffset val="100"/>
        <c:noMultiLvlLbl val="0"/>
      </c:catAx>
      <c:valAx>
        <c:axId val="775695832"/>
        <c:scaling>
          <c:orientation val="minMax"/>
        </c:scaling>
        <c:delete val="0"/>
        <c:axPos val="l"/>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5687600"/>
        <c:crosses val="autoZero"/>
        <c:crossBetween val="between"/>
      </c:valAx>
      <c:valAx>
        <c:axId val="775697008"/>
        <c:scaling>
          <c:orientation val="minMax"/>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5686816"/>
        <c:crosses val="max"/>
        <c:crossBetween val="between"/>
      </c:valAx>
      <c:catAx>
        <c:axId val="775686816"/>
        <c:scaling>
          <c:orientation val="minMax"/>
        </c:scaling>
        <c:delete val="1"/>
        <c:axPos val="b"/>
        <c:numFmt formatCode="General" sourceLinked="1"/>
        <c:majorTickMark val="out"/>
        <c:minorTickMark val="none"/>
        <c:tickLblPos val="nextTo"/>
        <c:crossAx val="775697008"/>
        <c:crosses val="autoZero"/>
        <c:auto val="1"/>
        <c:lblAlgn val="ctr"/>
        <c:lblOffset val="100"/>
        <c:noMultiLvlLbl val="0"/>
      </c:catAx>
      <c:spPr>
        <a:solidFill>
          <a:schemeClr val="bg1">
            <a:lumMod val="85000"/>
          </a:schemeClr>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Revenue by Ambition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Data!$B$148</c:f>
              <c:strCache>
                <c:ptCount val="1"/>
                <c:pt idx="0">
                  <c:v>Productivity &amp; Business</c:v>
                </c:pt>
              </c:strCache>
            </c:strRef>
          </c:tx>
          <c:spPr>
            <a:solidFill>
              <a:schemeClr val="accent1"/>
            </a:solidFill>
            <a:ln>
              <a:noFill/>
            </a:ln>
            <a:effectLst/>
          </c:spPr>
          <c:invertIfNegative val="0"/>
          <c:cat>
            <c:strRef>
              <c:f>Data!$E$132:$H$132</c:f>
              <c:strCache>
                <c:ptCount val="4"/>
                <c:pt idx="0">
                  <c:v>R0</c:v>
                </c:pt>
                <c:pt idx="1">
                  <c:v>R1</c:v>
                </c:pt>
                <c:pt idx="2">
                  <c:v>R2</c:v>
                </c:pt>
                <c:pt idx="3">
                  <c:v>R3</c:v>
                </c:pt>
              </c:strCache>
            </c:strRef>
          </c:cat>
          <c:val>
            <c:numRef>
              <c:f>Data!$E$148:$H$148</c:f>
              <c:numCache>
                <c:formatCode>"$"#,##0_);[Red]\("$"#,##0\)</c:formatCode>
                <c:ptCount val="4"/>
                <c:pt idx="0">
                  <c:v>313500000</c:v>
                </c:pt>
                <c:pt idx="1">
                  <c:v>338580000</c:v>
                </c:pt>
                <c:pt idx="2">
                  <c:v>372438000.00000006</c:v>
                </c:pt>
                <c:pt idx="3">
                  <c:v>417130560.00000012</c:v>
                </c:pt>
              </c:numCache>
            </c:numRef>
          </c:val>
          <c:extLst>
            <c:ext xmlns:c16="http://schemas.microsoft.com/office/drawing/2014/chart" uri="{C3380CC4-5D6E-409C-BE32-E72D297353CC}">
              <c16:uniqueId val="{00000000-CAA5-41CB-B430-C3BCF5331776}"/>
            </c:ext>
          </c:extLst>
        </c:ser>
        <c:ser>
          <c:idx val="1"/>
          <c:order val="1"/>
          <c:tx>
            <c:strRef>
              <c:f>Data!$B$151</c:f>
              <c:strCache>
                <c:ptCount val="1"/>
                <c:pt idx="0">
                  <c:v>Intelligent Cloud</c:v>
                </c:pt>
              </c:strCache>
            </c:strRef>
          </c:tx>
          <c:spPr>
            <a:solidFill>
              <a:schemeClr val="accent2"/>
            </a:solidFill>
            <a:ln>
              <a:noFill/>
            </a:ln>
            <a:effectLst/>
          </c:spPr>
          <c:invertIfNegative val="0"/>
          <c:cat>
            <c:strRef>
              <c:f>Data!$E$132:$H$132</c:f>
              <c:strCache>
                <c:ptCount val="4"/>
                <c:pt idx="0">
                  <c:v>R0</c:v>
                </c:pt>
                <c:pt idx="1">
                  <c:v>R1</c:v>
                </c:pt>
                <c:pt idx="2">
                  <c:v>R2</c:v>
                </c:pt>
                <c:pt idx="3">
                  <c:v>R3</c:v>
                </c:pt>
              </c:strCache>
            </c:strRef>
          </c:cat>
          <c:val>
            <c:numRef>
              <c:f>Data!$E$151:$H$151</c:f>
              <c:numCache>
                <c:formatCode>"$"#,##0_);[Red]\("$"#,##0\)</c:formatCode>
                <c:ptCount val="4"/>
                <c:pt idx="0">
                  <c:v>247000000</c:v>
                </c:pt>
                <c:pt idx="1">
                  <c:v>321100000</c:v>
                </c:pt>
                <c:pt idx="2">
                  <c:v>369265000</c:v>
                </c:pt>
                <c:pt idx="3">
                  <c:v>461581250</c:v>
                </c:pt>
              </c:numCache>
            </c:numRef>
          </c:val>
          <c:extLst>
            <c:ext xmlns:c16="http://schemas.microsoft.com/office/drawing/2014/chart" uri="{C3380CC4-5D6E-409C-BE32-E72D297353CC}">
              <c16:uniqueId val="{00000001-CAA5-41CB-B430-C3BCF5331776}"/>
            </c:ext>
          </c:extLst>
        </c:ser>
        <c:ser>
          <c:idx val="2"/>
          <c:order val="2"/>
          <c:tx>
            <c:strRef>
              <c:f>Data!$B$154</c:f>
              <c:strCache>
                <c:ptCount val="1"/>
                <c:pt idx="0">
                  <c:v>Personal Computing</c:v>
                </c:pt>
              </c:strCache>
            </c:strRef>
          </c:tx>
          <c:spPr>
            <a:solidFill>
              <a:schemeClr val="accent3"/>
            </a:solidFill>
            <a:ln>
              <a:noFill/>
            </a:ln>
            <a:effectLst/>
          </c:spPr>
          <c:invertIfNegative val="0"/>
          <c:cat>
            <c:strRef>
              <c:f>Data!$E$132:$H$132</c:f>
              <c:strCache>
                <c:ptCount val="4"/>
                <c:pt idx="0">
                  <c:v>R0</c:v>
                </c:pt>
                <c:pt idx="1">
                  <c:v>R1</c:v>
                </c:pt>
                <c:pt idx="2">
                  <c:v>R2</c:v>
                </c:pt>
                <c:pt idx="3">
                  <c:v>R3</c:v>
                </c:pt>
              </c:strCache>
            </c:strRef>
          </c:cat>
          <c:val>
            <c:numRef>
              <c:f>Data!$E$154:$H$154</c:f>
              <c:numCache>
                <c:formatCode>"$"#,##0_);[Red]\("$"#,##0\)</c:formatCode>
                <c:ptCount val="4"/>
                <c:pt idx="0">
                  <c:v>389500000</c:v>
                </c:pt>
                <c:pt idx="1">
                  <c:v>397290000</c:v>
                </c:pt>
                <c:pt idx="2">
                  <c:v>409208700</c:v>
                </c:pt>
                <c:pt idx="3">
                  <c:v>413300787</c:v>
                </c:pt>
              </c:numCache>
            </c:numRef>
          </c:val>
          <c:extLst>
            <c:ext xmlns:c16="http://schemas.microsoft.com/office/drawing/2014/chart" uri="{C3380CC4-5D6E-409C-BE32-E72D297353CC}">
              <c16:uniqueId val="{00000002-CAA5-41CB-B430-C3BCF5331776}"/>
            </c:ext>
          </c:extLst>
        </c:ser>
        <c:dLbls>
          <c:showLegendKey val="0"/>
          <c:showVal val="0"/>
          <c:showCatName val="0"/>
          <c:showSerName val="0"/>
          <c:showPercent val="0"/>
          <c:showBubbleSize val="0"/>
        </c:dLbls>
        <c:gapWidth val="150"/>
        <c:overlap val="100"/>
        <c:axId val="775691128"/>
        <c:axId val="775689168"/>
      </c:barChart>
      <c:catAx>
        <c:axId val="77569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5689168"/>
        <c:crosses val="autoZero"/>
        <c:auto val="1"/>
        <c:lblAlgn val="ctr"/>
        <c:lblOffset val="100"/>
        <c:noMultiLvlLbl val="0"/>
      </c:catAx>
      <c:valAx>
        <c:axId val="775689168"/>
        <c:scaling>
          <c:orientation val="minMax"/>
        </c:scaling>
        <c:delete val="0"/>
        <c:axPos val="l"/>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5691128"/>
        <c:crosses val="autoZero"/>
        <c:crossBetween val="between"/>
      </c:valAx>
      <c:spPr>
        <a:solidFill>
          <a:schemeClr val="bg1">
            <a:lumMod val="8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Graphs!$C$91</c:f>
              <c:strCache>
                <c:ptCount val="1"/>
                <c:pt idx="0">
                  <c:v>This Round</c:v>
                </c:pt>
              </c:strCache>
            </c:strRef>
          </c:tx>
          <c:spPr>
            <a:solidFill>
              <a:schemeClr val="bg2"/>
            </a:solidFill>
            <a:ln>
              <a:noFill/>
            </a:ln>
            <a:effectLst/>
          </c:spPr>
          <c:invertIfNegative val="0"/>
          <c:val>
            <c:numRef>
              <c:f>Graphs!$D$91</c:f>
              <c:numCache>
                <c:formatCode>General</c:formatCode>
                <c:ptCount val="1"/>
                <c:pt idx="0">
                  <c:v>98.429999999999993</c:v>
                </c:pt>
              </c:numCache>
            </c:numRef>
          </c:val>
          <c:extLst>
            <c:ext xmlns:c16="http://schemas.microsoft.com/office/drawing/2014/chart" uri="{C3380CC4-5D6E-409C-BE32-E72D297353CC}">
              <c16:uniqueId val="{00000001-322E-4915-833F-ACCB3C45E9E8}"/>
            </c:ext>
          </c:extLst>
        </c:ser>
        <c:ser>
          <c:idx val="0"/>
          <c:order val="1"/>
          <c:tx>
            <c:strRef>
              <c:f>Graphs!$C$90</c:f>
              <c:strCache>
                <c:ptCount val="1"/>
                <c:pt idx="0">
                  <c:v>Last Round</c:v>
                </c:pt>
              </c:strCache>
            </c:strRef>
          </c:tx>
          <c:spPr>
            <a:solidFill>
              <a:schemeClr val="bg2">
                <a:lumMod val="20000"/>
                <a:lumOff val="80000"/>
              </a:schemeClr>
            </a:solidFill>
            <a:ln>
              <a:noFill/>
            </a:ln>
            <a:effectLst/>
          </c:spPr>
          <c:invertIfNegative val="0"/>
          <c:val>
            <c:numRef>
              <c:f>Graphs!$D$90</c:f>
              <c:numCache>
                <c:formatCode>General</c:formatCode>
                <c:ptCount val="1"/>
                <c:pt idx="0">
                  <c:v>100.785</c:v>
                </c:pt>
              </c:numCache>
            </c:numRef>
          </c:val>
          <c:extLst>
            <c:ext xmlns:c16="http://schemas.microsoft.com/office/drawing/2014/chart" uri="{C3380CC4-5D6E-409C-BE32-E72D297353CC}">
              <c16:uniqueId val="{00000000-322E-4915-833F-ACCB3C45E9E8}"/>
            </c:ext>
          </c:extLst>
        </c:ser>
        <c:dLbls>
          <c:showLegendKey val="0"/>
          <c:showVal val="0"/>
          <c:showCatName val="0"/>
          <c:showSerName val="0"/>
          <c:showPercent val="0"/>
          <c:showBubbleSize val="0"/>
        </c:dLbls>
        <c:gapWidth val="182"/>
        <c:axId val="864811720"/>
        <c:axId val="864812112"/>
      </c:barChart>
      <c:catAx>
        <c:axId val="864811720"/>
        <c:scaling>
          <c:orientation val="minMax"/>
        </c:scaling>
        <c:delete val="1"/>
        <c:axPos val="l"/>
        <c:numFmt formatCode="General" sourceLinked="1"/>
        <c:majorTickMark val="none"/>
        <c:minorTickMark val="none"/>
        <c:tickLblPos val="nextTo"/>
        <c:crossAx val="864812112"/>
        <c:crosses val="autoZero"/>
        <c:auto val="1"/>
        <c:lblAlgn val="ctr"/>
        <c:lblOffset val="100"/>
        <c:noMultiLvlLbl val="0"/>
      </c:catAx>
      <c:valAx>
        <c:axId val="864812112"/>
        <c:scaling>
          <c:orientation val="minMax"/>
        </c:scaling>
        <c:delete val="1"/>
        <c:axPos val="b"/>
        <c:numFmt formatCode="General" sourceLinked="1"/>
        <c:majorTickMark val="none"/>
        <c:minorTickMark val="none"/>
        <c:tickLblPos val="nextTo"/>
        <c:crossAx val="864811720"/>
        <c:crosses val="autoZero"/>
        <c:crossBetween val="between"/>
      </c:valAx>
      <c:spPr>
        <a:solidFill>
          <a:schemeClr val="bg1">
            <a:lumMod val="95000"/>
          </a:schemeClr>
        </a:solidFill>
        <a:ln>
          <a:noFill/>
        </a:ln>
        <a:effectLst/>
      </c:spPr>
    </c:plotArea>
    <c:legend>
      <c:legendPos val="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latin typeface="+mj-lt"/>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3" Type="http://schemas.openxmlformats.org/officeDocument/2006/relationships/chart" Target="../charts/chart2.xml"/><Relationship Id="rId7" Type="http://schemas.openxmlformats.org/officeDocument/2006/relationships/chart" Target="../charts/chart5.xml"/><Relationship Id="rId12" Type="http://schemas.openxmlformats.org/officeDocument/2006/relationships/image" Target="../media/image5.png"/><Relationship Id="rId2"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image" Target="../media/image4.jpeg"/><Relationship Id="rId11" Type="http://schemas.openxmlformats.org/officeDocument/2006/relationships/chart" Target="../charts/chart9.xml"/><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chart" Target="../charts/chart3.xml"/><Relationship Id="rId9"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image" Target="../media/image9.png"/><Relationship Id="rId7" Type="http://schemas.openxmlformats.org/officeDocument/2006/relationships/chart" Target="../charts/chart13.xml"/><Relationship Id="rId2" Type="http://schemas.openxmlformats.org/officeDocument/2006/relationships/image" Target="../media/image8.png"/><Relationship Id="rId1" Type="http://schemas.openxmlformats.org/officeDocument/2006/relationships/image" Target="../media/image7.jpeg"/><Relationship Id="rId6" Type="http://schemas.openxmlformats.org/officeDocument/2006/relationships/chart" Target="../charts/chart12.xml"/><Relationship Id="rId11" Type="http://schemas.openxmlformats.org/officeDocument/2006/relationships/image" Target="../media/image10.png"/><Relationship Id="rId5" Type="http://schemas.openxmlformats.org/officeDocument/2006/relationships/chart" Target="../charts/chart11.xml"/><Relationship Id="rId10" Type="http://schemas.openxmlformats.org/officeDocument/2006/relationships/image" Target="../media/image5.png"/><Relationship Id="rId4" Type="http://schemas.openxmlformats.org/officeDocument/2006/relationships/chart" Target="../charts/chart10.xml"/><Relationship Id="rId9"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3" Type="http://schemas.openxmlformats.org/officeDocument/2006/relationships/image" Target="../media/image12.jpeg"/><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image" Target="../media/image8.png"/><Relationship Id="rId16" Type="http://schemas.openxmlformats.org/officeDocument/2006/relationships/image" Target="../media/image10.png"/><Relationship Id="rId1" Type="http://schemas.openxmlformats.org/officeDocument/2006/relationships/image" Target="../media/image11.jpeg"/><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image" Target="../media/image5.png"/><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31.xml"/><Relationship Id="rId3" Type="http://schemas.openxmlformats.org/officeDocument/2006/relationships/image" Target="../media/image14.png"/><Relationship Id="rId7" Type="http://schemas.openxmlformats.org/officeDocument/2006/relationships/chart" Target="../charts/chart30.xml"/><Relationship Id="rId12" Type="http://schemas.openxmlformats.org/officeDocument/2006/relationships/image" Target="../media/image10.png"/><Relationship Id="rId2" Type="http://schemas.openxmlformats.org/officeDocument/2006/relationships/image" Target="../media/image8.png"/><Relationship Id="rId1" Type="http://schemas.openxmlformats.org/officeDocument/2006/relationships/image" Target="../media/image13.jpeg"/><Relationship Id="rId6" Type="http://schemas.openxmlformats.org/officeDocument/2006/relationships/chart" Target="../charts/chart29.xml"/><Relationship Id="rId11" Type="http://schemas.openxmlformats.org/officeDocument/2006/relationships/image" Target="../media/image5.png"/><Relationship Id="rId5" Type="http://schemas.openxmlformats.org/officeDocument/2006/relationships/chart" Target="../charts/chart28.xml"/><Relationship Id="rId10" Type="http://schemas.openxmlformats.org/officeDocument/2006/relationships/chart" Target="../charts/chart33.xml"/><Relationship Id="rId4" Type="http://schemas.openxmlformats.org/officeDocument/2006/relationships/chart" Target="../charts/chart27.xml"/><Relationship Id="rId9" Type="http://schemas.openxmlformats.org/officeDocument/2006/relationships/chart" Target="../charts/chart3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8.png"/><Relationship Id="rId1" Type="http://schemas.openxmlformats.org/officeDocument/2006/relationships/image" Target="../media/image4.jpeg"/></Relationships>
</file>

<file path=xl/drawings/_rels/drawing18.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xdr:twoCellAnchor>
    <xdr:from>
      <xdr:col>6</xdr:col>
      <xdr:colOff>685800</xdr:colOff>
      <xdr:row>9</xdr:row>
      <xdr:rowOff>22860</xdr:rowOff>
    </xdr:from>
    <xdr:to>
      <xdr:col>9</xdr:col>
      <xdr:colOff>723900</xdr:colOff>
      <xdr:row>11</xdr:row>
      <xdr:rowOff>121920</xdr:rowOff>
    </xdr:to>
    <xdr:sp macro="[0]!CalibrateTeams" textlink="">
      <xdr:nvSpPr>
        <xdr:cNvPr id="2" name="Rectangle 1">
          <a:extLst>
            <a:ext uri="{FF2B5EF4-FFF2-40B4-BE49-F238E27FC236}">
              <a16:creationId xmlns:a16="http://schemas.microsoft.com/office/drawing/2014/main" id="{00000000-0008-0000-0100-000002000000}"/>
            </a:ext>
          </a:extLst>
        </xdr:cNvPr>
        <xdr:cNvSpPr/>
      </xdr:nvSpPr>
      <xdr:spPr bwMode="auto">
        <a:xfrm>
          <a:off x="4907280" y="1600200"/>
          <a:ext cx="2232660" cy="449580"/>
        </a:xfrm>
        <a:prstGeom prst="rect">
          <a:avLst/>
        </a:prstGeom>
        <a:solidFill>
          <a:schemeClr val="accent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gradFill>
                <a:gsLst>
                  <a:gs pos="0">
                    <a:srgbClr val="FFFFFF"/>
                  </a:gs>
                  <a:gs pos="100000">
                    <a:srgbClr val="FFFFFF"/>
                  </a:gs>
                </a:gsLst>
                <a:lin ang="5400000" scaled="0"/>
              </a:gradFill>
              <a:ea typeface="Segoe UI" pitchFamily="34" charset="0"/>
              <a:cs typeface="Segoe UI" pitchFamily="34" charset="0"/>
            </a:rPr>
            <a:t>Calibrate Teams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582706</xdr:colOff>
      <xdr:row>17</xdr:row>
      <xdr:rowOff>33618</xdr:rowOff>
    </xdr:from>
    <xdr:to>
      <xdr:col>6</xdr:col>
      <xdr:colOff>795619</xdr:colOff>
      <xdr:row>18</xdr:row>
      <xdr:rowOff>156883</xdr:rowOff>
    </xdr:to>
    <xdr:sp macro="[0]!DataValidation_Set_Main" textlink="">
      <xdr:nvSpPr>
        <xdr:cNvPr id="2" name="Rounded Rectangle 1">
          <a:extLst>
            <a:ext uri="{FF2B5EF4-FFF2-40B4-BE49-F238E27FC236}">
              <a16:creationId xmlns:a16="http://schemas.microsoft.com/office/drawing/2014/main" id="{00000000-0008-0000-0300-000002000000}"/>
            </a:ext>
          </a:extLst>
        </xdr:cNvPr>
        <xdr:cNvSpPr/>
      </xdr:nvSpPr>
      <xdr:spPr bwMode="auto">
        <a:xfrm>
          <a:off x="4606066" y="2235798"/>
          <a:ext cx="2224593" cy="222325"/>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Apply Data Validation</a:t>
          </a:r>
        </a:p>
      </xdr:txBody>
    </xdr:sp>
    <xdr:clientData/>
  </xdr:twoCellAnchor>
  <xdr:twoCellAnchor>
    <xdr:from>
      <xdr:col>2</xdr:col>
      <xdr:colOff>0</xdr:colOff>
      <xdr:row>17</xdr:row>
      <xdr:rowOff>33618</xdr:rowOff>
    </xdr:from>
    <xdr:to>
      <xdr:col>4</xdr:col>
      <xdr:colOff>212913</xdr:colOff>
      <xdr:row>18</xdr:row>
      <xdr:rowOff>156883</xdr:rowOff>
    </xdr:to>
    <xdr:sp macro="[0]!DataValidation_LoadInputRanges" textlink="">
      <xdr:nvSpPr>
        <xdr:cNvPr id="3" name="Rounded Rectangle 2">
          <a:extLst>
            <a:ext uri="{FF2B5EF4-FFF2-40B4-BE49-F238E27FC236}">
              <a16:creationId xmlns:a16="http://schemas.microsoft.com/office/drawing/2014/main" id="{00000000-0008-0000-0300-000003000000}"/>
            </a:ext>
          </a:extLst>
        </xdr:cNvPr>
        <xdr:cNvSpPr/>
      </xdr:nvSpPr>
      <xdr:spPr bwMode="auto">
        <a:xfrm>
          <a:off x="2011680" y="2235798"/>
          <a:ext cx="2224593" cy="222325"/>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Set Up 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428625</xdr:colOff>
      <xdr:row>14</xdr:row>
      <xdr:rowOff>0</xdr:rowOff>
    </xdr:from>
    <xdr:to>
      <xdr:col>6</xdr:col>
      <xdr:colOff>641538</xdr:colOff>
      <xdr:row>15</xdr:row>
      <xdr:rowOff>121584</xdr:rowOff>
    </xdr:to>
    <xdr:sp macro="[0]!TestAuto_Router" textlink="">
      <xdr:nvSpPr>
        <xdr:cNvPr id="2" name="btnTestAuto_Max">
          <a:extLst>
            <a:ext uri="{FF2B5EF4-FFF2-40B4-BE49-F238E27FC236}">
              <a16:creationId xmlns:a16="http://schemas.microsoft.com/office/drawing/2014/main" id="{00000000-0008-0000-0400-000002000000}"/>
            </a:ext>
          </a:extLst>
        </xdr:cNvPr>
        <xdr:cNvSpPr/>
      </xdr:nvSpPr>
      <xdr:spPr bwMode="auto">
        <a:xfrm>
          <a:off x="4208145" y="2453640"/>
          <a:ext cx="2102673" cy="296844"/>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All</a:t>
          </a:r>
          <a:r>
            <a:rPr lang="en-US" sz="1100" b="1" baseline="0">
              <a:latin typeface="Verdana" panose="020B0604030504040204" pitchFamily="34" charset="0"/>
              <a:ea typeface="Verdana" panose="020B0604030504040204" pitchFamily="34" charset="0"/>
              <a:cs typeface="Verdana" panose="020B0604030504040204" pitchFamily="34" charset="0"/>
            </a:rPr>
            <a:t> Max</a:t>
          </a:r>
          <a:endParaRPr lang="en-US" sz="11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2</xdr:col>
      <xdr:colOff>0</xdr:colOff>
      <xdr:row>14</xdr:row>
      <xdr:rowOff>0</xdr:rowOff>
    </xdr:from>
    <xdr:to>
      <xdr:col>4</xdr:col>
      <xdr:colOff>22413</xdr:colOff>
      <xdr:row>15</xdr:row>
      <xdr:rowOff>121584</xdr:rowOff>
    </xdr:to>
    <xdr:sp macro="[0]!TestAuto_Router" textlink="">
      <xdr:nvSpPr>
        <xdr:cNvPr id="3" name="btnTestAuto_Individual">
          <a:extLst>
            <a:ext uri="{FF2B5EF4-FFF2-40B4-BE49-F238E27FC236}">
              <a16:creationId xmlns:a16="http://schemas.microsoft.com/office/drawing/2014/main" id="{00000000-0008-0000-0400-000003000000}"/>
            </a:ext>
          </a:extLst>
        </xdr:cNvPr>
        <xdr:cNvSpPr/>
      </xdr:nvSpPr>
      <xdr:spPr bwMode="auto">
        <a:xfrm>
          <a:off x="1889760" y="2453640"/>
          <a:ext cx="1912173" cy="296844"/>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Decision</a:t>
          </a:r>
          <a:r>
            <a:rPr lang="en-US" sz="1100" b="1" baseline="0">
              <a:latin typeface="Verdana" panose="020B0604030504040204" pitchFamily="34" charset="0"/>
              <a:ea typeface="Verdana" panose="020B0604030504040204" pitchFamily="34" charset="0"/>
              <a:cs typeface="Verdana" panose="020B0604030504040204" pitchFamily="34" charset="0"/>
            </a:rPr>
            <a:t>-by-Decision</a:t>
          </a:r>
          <a:endParaRPr lang="en-US" sz="11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6</xdr:col>
      <xdr:colOff>1047750</xdr:colOff>
      <xdr:row>14</xdr:row>
      <xdr:rowOff>0</xdr:rowOff>
    </xdr:from>
    <xdr:to>
      <xdr:col>7</xdr:col>
      <xdr:colOff>1317813</xdr:colOff>
      <xdr:row>15</xdr:row>
      <xdr:rowOff>121584</xdr:rowOff>
    </xdr:to>
    <xdr:sp macro="[0]!TestAuto_Router" textlink="">
      <xdr:nvSpPr>
        <xdr:cNvPr id="4" name="btnTestAuto_Min">
          <a:extLst>
            <a:ext uri="{FF2B5EF4-FFF2-40B4-BE49-F238E27FC236}">
              <a16:creationId xmlns:a16="http://schemas.microsoft.com/office/drawing/2014/main" id="{00000000-0008-0000-0400-000004000000}"/>
            </a:ext>
          </a:extLst>
        </xdr:cNvPr>
        <xdr:cNvSpPr/>
      </xdr:nvSpPr>
      <xdr:spPr bwMode="auto">
        <a:xfrm>
          <a:off x="6610350" y="2453640"/>
          <a:ext cx="948243" cy="296844"/>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All Min</a:t>
          </a:r>
        </a:p>
      </xdr:txBody>
    </xdr:sp>
    <xdr:clientData/>
  </xdr:twoCellAnchor>
  <xdr:twoCellAnchor>
    <xdr:from>
      <xdr:col>8</xdr:col>
      <xdr:colOff>285750</xdr:colOff>
      <xdr:row>14</xdr:row>
      <xdr:rowOff>9525</xdr:rowOff>
    </xdr:from>
    <xdr:to>
      <xdr:col>9</xdr:col>
      <xdr:colOff>555813</xdr:colOff>
      <xdr:row>15</xdr:row>
      <xdr:rowOff>131109</xdr:rowOff>
    </xdr:to>
    <xdr:sp macro="[0]!TestAuto_Router" textlink="">
      <xdr:nvSpPr>
        <xdr:cNvPr id="5" name="btnTestAuto_Random">
          <a:extLst>
            <a:ext uri="{FF2B5EF4-FFF2-40B4-BE49-F238E27FC236}">
              <a16:creationId xmlns:a16="http://schemas.microsoft.com/office/drawing/2014/main" id="{00000000-0008-0000-0400-000005000000}"/>
            </a:ext>
          </a:extLst>
        </xdr:cNvPr>
        <xdr:cNvSpPr/>
      </xdr:nvSpPr>
      <xdr:spPr bwMode="auto">
        <a:xfrm>
          <a:off x="7844790" y="2463165"/>
          <a:ext cx="1214943" cy="296844"/>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Random</a:t>
          </a:r>
        </a:p>
      </xdr:txBody>
    </xdr:sp>
    <xdr:clientData/>
  </xdr:twoCellAnchor>
  <xdr:twoCellAnchor>
    <xdr:from>
      <xdr:col>1</xdr:col>
      <xdr:colOff>57150</xdr:colOff>
      <xdr:row>24</xdr:row>
      <xdr:rowOff>9525</xdr:rowOff>
    </xdr:from>
    <xdr:to>
      <xdr:col>4</xdr:col>
      <xdr:colOff>12888</xdr:colOff>
      <xdr:row>25</xdr:row>
      <xdr:rowOff>131109</xdr:rowOff>
    </xdr:to>
    <xdr:sp macro="[0]!TestAuto_Setup" textlink="">
      <xdr:nvSpPr>
        <xdr:cNvPr id="6" name="btnTestAuto_SetUp">
          <a:extLst>
            <a:ext uri="{FF2B5EF4-FFF2-40B4-BE49-F238E27FC236}">
              <a16:creationId xmlns:a16="http://schemas.microsoft.com/office/drawing/2014/main" id="{00000000-0008-0000-0400-000006000000}"/>
            </a:ext>
          </a:extLst>
        </xdr:cNvPr>
        <xdr:cNvSpPr/>
      </xdr:nvSpPr>
      <xdr:spPr bwMode="auto">
        <a:xfrm>
          <a:off x="1002030" y="4215765"/>
          <a:ext cx="2790378" cy="296844"/>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Run Set Up</a:t>
          </a:r>
        </a:p>
      </xdr:txBody>
    </xdr:sp>
    <xdr:clientData/>
  </xdr:twoCellAnchor>
  <xdr:twoCellAnchor>
    <xdr:from>
      <xdr:col>1</xdr:col>
      <xdr:colOff>47625</xdr:colOff>
      <xdr:row>17</xdr:row>
      <xdr:rowOff>9525</xdr:rowOff>
    </xdr:from>
    <xdr:to>
      <xdr:col>4</xdr:col>
      <xdr:colOff>3363</xdr:colOff>
      <xdr:row>18</xdr:row>
      <xdr:rowOff>131109</xdr:rowOff>
    </xdr:to>
    <xdr:sp macro="[0]!TestAuto_ResetInputs" textlink="">
      <xdr:nvSpPr>
        <xdr:cNvPr id="7" name="btnTestAuto_Max">
          <a:extLst>
            <a:ext uri="{FF2B5EF4-FFF2-40B4-BE49-F238E27FC236}">
              <a16:creationId xmlns:a16="http://schemas.microsoft.com/office/drawing/2014/main" id="{00000000-0008-0000-0400-000007000000}"/>
            </a:ext>
          </a:extLst>
        </xdr:cNvPr>
        <xdr:cNvSpPr/>
      </xdr:nvSpPr>
      <xdr:spPr bwMode="auto">
        <a:xfrm>
          <a:off x="992505" y="2988945"/>
          <a:ext cx="2790378" cy="296844"/>
        </a:xfrm>
        <a:prstGeom prst="roundRect">
          <a:avLst/>
        </a:prstGeom>
        <a:solidFill>
          <a:schemeClr val="bg1">
            <a:lumMod val="75000"/>
          </a:schemeClr>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Reset Input Cells</a:t>
          </a:r>
        </a:p>
      </xdr:txBody>
    </xdr:sp>
    <xdr:clientData/>
  </xdr:twoCellAnchor>
  <xdr:twoCellAnchor>
    <xdr:from>
      <xdr:col>4</xdr:col>
      <xdr:colOff>438150</xdr:colOff>
      <xdr:row>17</xdr:row>
      <xdr:rowOff>0</xdr:rowOff>
    </xdr:from>
    <xdr:to>
      <xdr:col>6</xdr:col>
      <xdr:colOff>651063</xdr:colOff>
      <xdr:row>18</xdr:row>
      <xdr:rowOff>121584</xdr:rowOff>
    </xdr:to>
    <xdr:sp macro="[0]!TestAuto_LoadTestCase" textlink="">
      <xdr:nvSpPr>
        <xdr:cNvPr id="8" name="btnTestAuto_Max">
          <a:extLst>
            <a:ext uri="{FF2B5EF4-FFF2-40B4-BE49-F238E27FC236}">
              <a16:creationId xmlns:a16="http://schemas.microsoft.com/office/drawing/2014/main" id="{00000000-0008-0000-0400-000008000000}"/>
            </a:ext>
          </a:extLst>
        </xdr:cNvPr>
        <xdr:cNvSpPr/>
      </xdr:nvSpPr>
      <xdr:spPr bwMode="auto">
        <a:xfrm>
          <a:off x="4217670" y="2979420"/>
          <a:ext cx="2102673" cy="296844"/>
        </a:xfrm>
        <a:prstGeom prst="roundRect">
          <a:avLst/>
        </a:prstGeom>
        <a:solidFill>
          <a:schemeClr val="bg1">
            <a:lumMod val="75000"/>
          </a:schemeClr>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Load Test</a:t>
          </a:r>
          <a:r>
            <a:rPr lang="en-US" sz="1100" b="1" baseline="0">
              <a:latin typeface="Verdana" panose="020B0604030504040204" pitchFamily="34" charset="0"/>
              <a:ea typeface="Verdana" panose="020B0604030504040204" pitchFamily="34" charset="0"/>
              <a:cs typeface="Verdana" panose="020B0604030504040204" pitchFamily="34" charset="0"/>
            </a:rPr>
            <a:t> Case</a:t>
          </a:r>
          <a:endParaRPr lang="en-US" sz="11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19</xdr:row>
          <xdr:rowOff>22860</xdr:rowOff>
        </xdr:from>
        <xdr:to>
          <xdr:col>3</xdr:col>
          <xdr:colOff>1638300</xdr:colOff>
          <xdr:row>21</xdr:row>
          <xdr:rowOff>0</xdr:rowOff>
        </xdr:to>
        <xdr:sp macro="" textlink="">
          <xdr:nvSpPr>
            <xdr:cNvPr id="413697" name="Button 1" hidden="1">
              <a:extLst>
                <a:ext uri="{63B3BB69-23CF-44E3-9099-C40C66FF867C}">
                  <a14:compatExt spid="_x0000_s413697"/>
                </a:ext>
                <a:ext uri="{FF2B5EF4-FFF2-40B4-BE49-F238E27FC236}">
                  <a16:creationId xmlns:a16="http://schemas.microsoft.com/office/drawing/2014/main" id="{00000000-0008-0000-0500-0000015006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Verdana"/>
                  <a:ea typeface="Verdana"/>
                  <a:cs typeface="Verdana"/>
                </a:rPr>
                <a:t>Create tlObal Ranges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161925</xdr:colOff>
      <xdr:row>9</xdr:row>
      <xdr:rowOff>9525</xdr:rowOff>
    </xdr:from>
    <xdr:to>
      <xdr:col>12</xdr:col>
      <xdr:colOff>171450</xdr:colOff>
      <xdr:row>38</xdr:row>
      <xdr:rowOff>0</xdr:rowOff>
    </xdr:to>
    <xdr:cxnSp macro="">
      <xdr:nvCxnSpPr>
        <xdr:cNvPr id="2" name="Straight Arrow Connector 1">
          <a:extLst>
            <a:ext uri="{FF2B5EF4-FFF2-40B4-BE49-F238E27FC236}">
              <a16:creationId xmlns:a16="http://schemas.microsoft.com/office/drawing/2014/main" id="{00000000-0008-0000-0700-000002000000}"/>
            </a:ext>
          </a:extLst>
        </xdr:cNvPr>
        <xdr:cNvCxnSpPr/>
      </xdr:nvCxnSpPr>
      <xdr:spPr>
        <a:xfrm>
          <a:off x="14077950" y="1771650"/>
          <a:ext cx="9525" cy="3000375"/>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xdr:colOff>
      <xdr:row>40</xdr:row>
      <xdr:rowOff>76200</xdr:rowOff>
    </xdr:from>
    <xdr:to>
      <xdr:col>4</xdr:col>
      <xdr:colOff>2038350</xdr:colOff>
      <xdr:row>40</xdr:row>
      <xdr:rowOff>76200</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a:off x="2200275" y="5248275"/>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69</xdr:row>
      <xdr:rowOff>123825</xdr:rowOff>
    </xdr:from>
    <xdr:to>
      <xdr:col>4</xdr:col>
      <xdr:colOff>1009650</xdr:colOff>
      <xdr:row>69</xdr:row>
      <xdr:rowOff>123825</xdr:rowOff>
    </xdr:to>
    <xdr:cxnSp macro="">
      <xdr:nvCxnSpPr>
        <xdr:cNvPr id="4" name="Straight Arrow Connector 3">
          <a:extLst>
            <a:ext uri="{FF2B5EF4-FFF2-40B4-BE49-F238E27FC236}">
              <a16:creationId xmlns:a16="http://schemas.microsoft.com/office/drawing/2014/main" id="{00000000-0008-0000-0700-000004000000}"/>
            </a:ext>
          </a:extLst>
        </xdr:cNvPr>
        <xdr:cNvCxnSpPr/>
      </xdr:nvCxnSpPr>
      <xdr:spPr>
        <a:xfrm>
          <a:off x="2390775" y="12030075"/>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xdr:row>
      <xdr:rowOff>123825</xdr:rowOff>
    </xdr:from>
    <xdr:to>
      <xdr:col>4</xdr:col>
      <xdr:colOff>990600</xdr:colOff>
      <xdr:row>4</xdr:row>
      <xdr:rowOff>123825</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a:off x="2371725" y="1009650"/>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103</xdr:row>
      <xdr:rowOff>0</xdr:rowOff>
    </xdr:from>
    <xdr:to>
      <xdr:col>5</xdr:col>
      <xdr:colOff>508</xdr:colOff>
      <xdr:row>103</xdr:row>
      <xdr:rowOff>292608</xdr:rowOff>
    </xdr:to>
    <xdr:sp macro="[0]!btnLevel.btnLevel" textlink="">
      <xdr:nvSpPr>
        <xdr:cNvPr id="2" name="btnLevelS12B0">
          <a:extLst>
            <a:ext uri="{FF2B5EF4-FFF2-40B4-BE49-F238E27FC236}">
              <a16:creationId xmlns:a16="http://schemas.microsoft.com/office/drawing/2014/main" id="{00000000-0008-0000-0B00-000002000000}"/>
            </a:ext>
          </a:extLst>
        </xdr:cNvPr>
        <xdr:cNvSpPr/>
      </xdr:nvSpPr>
      <xdr:spPr>
        <a:xfrm>
          <a:off x="2933700" y="9182100"/>
          <a:ext cx="290068" cy="24688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5</xdr:col>
      <xdr:colOff>181575</xdr:colOff>
      <xdr:row>103</xdr:row>
      <xdr:rowOff>0</xdr:rowOff>
    </xdr:from>
    <xdr:to>
      <xdr:col>5</xdr:col>
      <xdr:colOff>474183</xdr:colOff>
      <xdr:row>103</xdr:row>
      <xdr:rowOff>292608</xdr:rowOff>
    </xdr:to>
    <xdr:sp macro="[0]!btnLevel.btnLevel" textlink="">
      <xdr:nvSpPr>
        <xdr:cNvPr id="3" name="btnLevelS12B1">
          <a:extLst>
            <a:ext uri="{FF2B5EF4-FFF2-40B4-BE49-F238E27FC236}">
              <a16:creationId xmlns:a16="http://schemas.microsoft.com/office/drawing/2014/main" id="{00000000-0008-0000-0B00-000003000000}"/>
            </a:ext>
          </a:extLst>
        </xdr:cNvPr>
        <xdr:cNvSpPr/>
      </xdr:nvSpPr>
      <xdr:spPr>
        <a:xfrm>
          <a:off x="3404835" y="9182100"/>
          <a:ext cx="292608" cy="24688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5</xdr:col>
      <xdr:colOff>648900</xdr:colOff>
      <xdr:row>103</xdr:row>
      <xdr:rowOff>0</xdr:rowOff>
    </xdr:from>
    <xdr:to>
      <xdr:col>5</xdr:col>
      <xdr:colOff>941508</xdr:colOff>
      <xdr:row>103</xdr:row>
      <xdr:rowOff>292608</xdr:rowOff>
    </xdr:to>
    <xdr:sp macro="[0]!btnLevel.btnLevel" textlink="">
      <xdr:nvSpPr>
        <xdr:cNvPr id="4" name="btnLevelS12B2">
          <a:extLst>
            <a:ext uri="{FF2B5EF4-FFF2-40B4-BE49-F238E27FC236}">
              <a16:creationId xmlns:a16="http://schemas.microsoft.com/office/drawing/2014/main" id="{00000000-0008-0000-0B00-000004000000}"/>
            </a:ext>
          </a:extLst>
        </xdr:cNvPr>
        <xdr:cNvSpPr/>
      </xdr:nvSpPr>
      <xdr:spPr>
        <a:xfrm>
          <a:off x="3872160" y="9182100"/>
          <a:ext cx="292608" cy="24688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1116225</xdr:colOff>
      <xdr:row>103</xdr:row>
      <xdr:rowOff>0</xdr:rowOff>
    </xdr:from>
    <xdr:to>
      <xdr:col>5</xdr:col>
      <xdr:colOff>1408833</xdr:colOff>
      <xdr:row>103</xdr:row>
      <xdr:rowOff>292608</xdr:rowOff>
    </xdr:to>
    <xdr:sp macro="[0]!btnLevel.btnLevel" textlink="">
      <xdr:nvSpPr>
        <xdr:cNvPr id="5" name="btnLevelS12B3">
          <a:extLst>
            <a:ext uri="{FF2B5EF4-FFF2-40B4-BE49-F238E27FC236}">
              <a16:creationId xmlns:a16="http://schemas.microsoft.com/office/drawing/2014/main" id="{00000000-0008-0000-0B00-000005000000}"/>
            </a:ext>
          </a:extLst>
        </xdr:cNvPr>
        <xdr:cNvSpPr/>
      </xdr:nvSpPr>
      <xdr:spPr>
        <a:xfrm>
          <a:off x="4339485" y="9182100"/>
          <a:ext cx="292608" cy="24688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1583550</xdr:colOff>
      <xdr:row>103</xdr:row>
      <xdr:rowOff>0</xdr:rowOff>
    </xdr:from>
    <xdr:to>
      <xdr:col>5</xdr:col>
      <xdr:colOff>1876158</xdr:colOff>
      <xdr:row>103</xdr:row>
      <xdr:rowOff>292608</xdr:rowOff>
    </xdr:to>
    <xdr:sp macro="[0]!btnLevel.btnLevel" textlink="">
      <xdr:nvSpPr>
        <xdr:cNvPr id="6" name="btnLevelS12B4">
          <a:extLst>
            <a:ext uri="{FF2B5EF4-FFF2-40B4-BE49-F238E27FC236}">
              <a16:creationId xmlns:a16="http://schemas.microsoft.com/office/drawing/2014/main" id="{00000000-0008-0000-0B00-000006000000}"/>
            </a:ext>
          </a:extLst>
        </xdr:cNvPr>
        <xdr:cNvSpPr/>
      </xdr:nvSpPr>
      <xdr:spPr>
        <a:xfrm>
          <a:off x="4806810" y="9182100"/>
          <a:ext cx="292608" cy="24688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2050875</xdr:colOff>
      <xdr:row>103</xdr:row>
      <xdr:rowOff>0</xdr:rowOff>
    </xdr:from>
    <xdr:to>
      <xdr:col>6</xdr:col>
      <xdr:colOff>273383</xdr:colOff>
      <xdr:row>103</xdr:row>
      <xdr:rowOff>292608</xdr:rowOff>
    </xdr:to>
    <xdr:sp macro="[0]!btnLevel.btnLevel" textlink="">
      <xdr:nvSpPr>
        <xdr:cNvPr id="7" name="btnLevelS12B5">
          <a:extLst>
            <a:ext uri="{FF2B5EF4-FFF2-40B4-BE49-F238E27FC236}">
              <a16:creationId xmlns:a16="http://schemas.microsoft.com/office/drawing/2014/main" id="{00000000-0008-0000-0B00-000007000000}"/>
            </a:ext>
          </a:extLst>
        </xdr:cNvPr>
        <xdr:cNvSpPr/>
      </xdr:nvSpPr>
      <xdr:spPr>
        <a:xfrm>
          <a:off x="5274135" y="9182100"/>
          <a:ext cx="295148" cy="24688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638175</xdr:colOff>
      <xdr:row>33</xdr:row>
      <xdr:rowOff>542925</xdr:rowOff>
    </xdr:from>
    <xdr:to>
      <xdr:col>5</xdr:col>
      <xdr:colOff>942975</xdr:colOff>
      <xdr:row>33</xdr:row>
      <xdr:rowOff>847725</xdr:rowOff>
    </xdr:to>
    <xdr:sp macro="[0]!InfoButton_Click" textlink="">
      <xdr:nvSpPr>
        <xdr:cNvPr id="5" name="btnInfo5">
          <a:extLst>
            <a:ext uri="{FF2B5EF4-FFF2-40B4-BE49-F238E27FC236}">
              <a16:creationId xmlns:a16="http://schemas.microsoft.com/office/drawing/2014/main" id="{00000000-0008-0000-0C00-000005000000}"/>
            </a:ext>
          </a:extLst>
        </xdr:cNvPr>
        <xdr:cNvSpPr/>
      </xdr:nvSpPr>
      <xdr:spPr>
        <a:xfrm>
          <a:off x="6162675" y="6219825"/>
          <a:ext cx="304800" cy="0"/>
        </a:xfrm>
        <a:prstGeom prst="ellipse">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5</xdr:col>
      <xdr:colOff>638175</xdr:colOff>
      <xdr:row>34</xdr:row>
      <xdr:rowOff>485775</xdr:rowOff>
    </xdr:from>
    <xdr:to>
      <xdr:col>5</xdr:col>
      <xdr:colOff>942975</xdr:colOff>
      <xdr:row>34</xdr:row>
      <xdr:rowOff>790575</xdr:rowOff>
    </xdr:to>
    <xdr:sp macro="[0]!InfoButton_Click" textlink="">
      <xdr:nvSpPr>
        <xdr:cNvPr id="6" name="btnInfo6">
          <a:extLst>
            <a:ext uri="{FF2B5EF4-FFF2-40B4-BE49-F238E27FC236}">
              <a16:creationId xmlns:a16="http://schemas.microsoft.com/office/drawing/2014/main" id="{00000000-0008-0000-0C00-000006000000}"/>
            </a:ext>
          </a:extLst>
        </xdr:cNvPr>
        <xdr:cNvSpPr/>
      </xdr:nvSpPr>
      <xdr:spPr>
        <a:xfrm>
          <a:off x="6162675" y="639889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35</xdr:row>
      <xdr:rowOff>504825</xdr:rowOff>
    </xdr:from>
    <xdr:to>
      <xdr:col>5</xdr:col>
      <xdr:colOff>942975</xdr:colOff>
      <xdr:row>35</xdr:row>
      <xdr:rowOff>809625</xdr:rowOff>
    </xdr:to>
    <xdr:sp macro="[0]!InfoButton_Click" textlink="">
      <xdr:nvSpPr>
        <xdr:cNvPr id="7" name="btnInfo7">
          <a:extLst>
            <a:ext uri="{FF2B5EF4-FFF2-40B4-BE49-F238E27FC236}">
              <a16:creationId xmlns:a16="http://schemas.microsoft.com/office/drawing/2014/main" id="{00000000-0008-0000-0C00-000007000000}"/>
            </a:ext>
          </a:extLst>
        </xdr:cNvPr>
        <xdr:cNvSpPr/>
      </xdr:nvSpPr>
      <xdr:spPr>
        <a:xfrm>
          <a:off x="6162675" y="658558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5</xdr:col>
      <xdr:colOff>638175</xdr:colOff>
      <xdr:row>36</xdr:row>
      <xdr:rowOff>523875</xdr:rowOff>
    </xdr:from>
    <xdr:to>
      <xdr:col>5</xdr:col>
      <xdr:colOff>942975</xdr:colOff>
      <xdr:row>36</xdr:row>
      <xdr:rowOff>828675</xdr:rowOff>
    </xdr:to>
    <xdr:sp macro="[0]!InfoButton_Click" textlink="">
      <xdr:nvSpPr>
        <xdr:cNvPr id="8" name="btnInfo8">
          <a:extLst>
            <a:ext uri="{FF2B5EF4-FFF2-40B4-BE49-F238E27FC236}">
              <a16:creationId xmlns:a16="http://schemas.microsoft.com/office/drawing/2014/main" id="{00000000-0008-0000-0C00-000008000000}"/>
            </a:ext>
          </a:extLst>
        </xdr:cNvPr>
        <xdr:cNvSpPr/>
      </xdr:nvSpPr>
      <xdr:spPr>
        <a:xfrm>
          <a:off x="6162675" y="676465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5</xdr:col>
      <xdr:colOff>638175</xdr:colOff>
      <xdr:row>37</xdr:row>
      <xdr:rowOff>485775</xdr:rowOff>
    </xdr:from>
    <xdr:to>
      <xdr:col>5</xdr:col>
      <xdr:colOff>942975</xdr:colOff>
      <xdr:row>37</xdr:row>
      <xdr:rowOff>790575</xdr:rowOff>
    </xdr:to>
    <xdr:sp macro="[0]!InfoButton_Click" textlink="">
      <xdr:nvSpPr>
        <xdr:cNvPr id="9" name="btnInfo9">
          <a:extLst>
            <a:ext uri="{FF2B5EF4-FFF2-40B4-BE49-F238E27FC236}">
              <a16:creationId xmlns:a16="http://schemas.microsoft.com/office/drawing/2014/main" id="{00000000-0008-0000-0C00-000009000000}"/>
            </a:ext>
          </a:extLst>
        </xdr:cNvPr>
        <xdr:cNvSpPr/>
      </xdr:nvSpPr>
      <xdr:spPr>
        <a:xfrm>
          <a:off x="6162675" y="694753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38</xdr:row>
      <xdr:rowOff>542925</xdr:rowOff>
    </xdr:from>
    <xdr:to>
      <xdr:col>5</xdr:col>
      <xdr:colOff>942975</xdr:colOff>
      <xdr:row>38</xdr:row>
      <xdr:rowOff>847725</xdr:rowOff>
    </xdr:to>
    <xdr:sp macro="[0]!InfoButton_Click" textlink="">
      <xdr:nvSpPr>
        <xdr:cNvPr id="10" name="btnInfo10">
          <a:extLst>
            <a:ext uri="{FF2B5EF4-FFF2-40B4-BE49-F238E27FC236}">
              <a16:creationId xmlns:a16="http://schemas.microsoft.com/office/drawing/2014/main" id="{00000000-0008-0000-0C00-00000A000000}"/>
            </a:ext>
          </a:extLst>
        </xdr:cNvPr>
        <xdr:cNvSpPr/>
      </xdr:nvSpPr>
      <xdr:spPr>
        <a:xfrm>
          <a:off x="6162675" y="713422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39</xdr:row>
      <xdr:rowOff>504825</xdr:rowOff>
    </xdr:from>
    <xdr:to>
      <xdr:col>5</xdr:col>
      <xdr:colOff>942975</xdr:colOff>
      <xdr:row>39</xdr:row>
      <xdr:rowOff>809625</xdr:rowOff>
    </xdr:to>
    <xdr:sp macro="[0]!InfoButton_Click" textlink="">
      <xdr:nvSpPr>
        <xdr:cNvPr id="11" name="btnInfo11">
          <a:extLst>
            <a:ext uri="{FF2B5EF4-FFF2-40B4-BE49-F238E27FC236}">
              <a16:creationId xmlns:a16="http://schemas.microsoft.com/office/drawing/2014/main" id="{00000000-0008-0000-0C00-00000B000000}"/>
            </a:ext>
          </a:extLst>
        </xdr:cNvPr>
        <xdr:cNvSpPr/>
      </xdr:nvSpPr>
      <xdr:spPr>
        <a:xfrm>
          <a:off x="6162675" y="731710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40</xdr:row>
      <xdr:rowOff>495300</xdr:rowOff>
    </xdr:from>
    <xdr:to>
      <xdr:col>5</xdr:col>
      <xdr:colOff>942975</xdr:colOff>
      <xdr:row>40</xdr:row>
      <xdr:rowOff>800100</xdr:rowOff>
    </xdr:to>
    <xdr:sp macro="[0]!InfoButton_Click" textlink="">
      <xdr:nvSpPr>
        <xdr:cNvPr id="12" name="btnInfo12">
          <a:extLst>
            <a:ext uri="{FF2B5EF4-FFF2-40B4-BE49-F238E27FC236}">
              <a16:creationId xmlns:a16="http://schemas.microsoft.com/office/drawing/2014/main" id="{00000000-0008-0000-0C00-00000C000000}"/>
            </a:ext>
          </a:extLst>
        </xdr:cNvPr>
        <xdr:cNvSpPr/>
      </xdr:nvSpPr>
      <xdr:spPr>
        <a:xfrm>
          <a:off x="6162675" y="749808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41</xdr:row>
      <xdr:rowOff>514350</xdr:rowOff>
    </xdr:from>
    <xdr:to>
      <xdr:col>5</xdr:col>
      <xdr:colOff>942975</xdr:colOff>
      <xdr:row>41</xdr:row>
      <xdr:rowOff>819150</xdr:rowOff>
    </xdr:to>
    <xdr:sp macro="[0]!InfoButton_Click" textlink="">
      <xdr:nvSpPr>
        <xdr:cNvPr id="13" name="btnInfo13">
          <a:extLst>
            <a:ext uri="{FF2B5EF4-FFF2-40B4-BE49-F238E27FC236}">
              <a16:creationId xmlns:a16="http://schemas.microsoft.com/office/drawing/2014/main" id="{00000000-0008-0000-0C00-00000D000000}"/>
            </a:ext>
          </a:extLst>
        </xdr:cNvPr>
        <xdr:cNvSpPr/>
      </xdr:nvSpPr>
      <xdr:spPr>
        <a:xfrm>
          <a:off x="6162675" y="767715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42</xdr:row>
      <xdr:rowOff>476250</xdr:rowOff>
    </xdr:from>
    <xdr:to>
      <xdr:col>5</xdr:col>
      <xdr:colOff>942975</xdr:colOff>
      <xdr:row>42</xdr:row>
      <xdr:rowOff>781050</xdr:rowOff>
    </xdr:to>
    <xdr:sp macro="[0]!InfoButton_Click" textlink="">
      <xdr:nvSpPr>
        <xdr:cNvPr id="14" name="btnInfo14">
          <a:extLst>
            <a:ext uri="{FF2B5EF4-FFF2-40B4-BE49-F238E27FC236}">
              <a16:creationId xmlns:a16="http://schemas.microsoft.com/office/drawing/2014/main" id="{00000000-0008-0000-0C00-00000E000000}"/>
            </a:ext>
          </a:extLst>
        </xdr:cNvPr>
        <xdr:cNvSpPr/>
      </xdr:nvSpPr>
      <xdr:spPr>
        <a:xfrm>
          <a:off x="6162675" y="786003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43</xdr:row>
      <xdr:rowOff>533400</xdr:rowOff>
    </xdr:from>
    <xdr:to>
      <xdr:col>5</xdr:col>
      <xdr:colOff>942975</xdr:colOff>
      <xdr:row>43</xdr:row>
      <xdr:rowOff>838200</xdr:rowOff>
    </xdr:to>
    <xdr:sp macro="[0]!InfoButton_Click" textlink="">
      <xdr:nvSpPr>
        <xdr:cNvPr id="15" name="btnInfo15">
          <a:extLst>
            <a:ext uri="{FF2B5EF4-FFF2-40B4-BE49-F238E27FC236}">
              <a16:creationId xmlns:a16="http://schemas.microsoft.com/office/drawing/2014/main" id="{00000000-0008-0000-0C00-00000F000000}"/>
            </a:ext>
          </a:extLst>
        </xdr:cNvPr>
        <xdr:cNvSpPr/>
      </xdr:nvSpPr>
      <xdr:spPr>
        <a:xfrm>
          <a:off x="6162675" y="804672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44</xdr:row>
      <xdr:rowOff>476250</xdr:rowOff>
    </xdr:from>
    <xdr:to>
      <xdr:col>5</xdr:col>
      <xdr:colOff>942975</xdr:colOff>
      <xdr:row>44</xdr:row>
      <xdr:rowOff>781050</xdr:rowOff>
    </xdr:to>
    <xdr:sp macro="[0]!InfoButton_Click" textlink="">
      <xdr:nvSpPr>
        <xdr:cNvPr id="16" name="btnInfo16">
          <a:extLst>
            <a:ext uri="{FF2B5EF4-FFF2-40B4-BE49-F238E27FC236}">
              <a16:creationId xmlns:a16="http://schemas.microsoft.com/office/drawing/2014/main" id="{00000000-0008-0000-0C00-000010000000}"/>
            </a:ext>
          </a:extLst>
        </xdr:cNvPr>
        <xdr:cNvSpPr/>
      </xdr:nvSpPr>
      <xdr:spPr>
        <a:xfrm>
          <a:off x="6162675" y="822579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45</xdr:row>
      <xdr:rowOff>476250</xdr:rowOff>
    </xdr:from>
    <xdr:to>
      <xdr:col>5</xdr:col>
      <xdr:colOff>942975</xdr:colOff>
      <xdr:row>45</xdr:row>
      <xdr:rowOff>781050</xdr:rowOff>
    </xdr:to>
    <xdr:sp macro="[0]!InfoButton_Click" textlink="">
      <xdr:nvSpPr>
        <xdr:cNvPr id="17" name="btnInfo17">
          <a:extLst>
            <a:ext uri="{FF2B5EF4-FFF2-40B4-BE49-F238E27FC236}">
              <a16:creationId xmlns:a16="http://schemas.microsoft.com/office/drawing/2014/main" id="{00000000-0008-0000-0C00-000011000000}"/>
            </a:ext>
          </a:extLst>
        </xdr:cNvPr>
        <xdr:cNvSpPr/>
      </xdr:nvSpPr>
      <xdr:spPr>
        <a:xfrm>
          <a:off x="6162675" y="840867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46</xdr:row>
      <xdr:rowOff>485775</xdr:rowOff>
    </xdr:from>
    <xdr:to>
      <xdr:col>5</xdr:col>
      <xdr:colOff>942975</xdr:colOff>
      <xdr:row>46</xdr:row>
      <xdr:rowOff>790575</xdr:rowOff>
    </xdr:to>
    <xdr:sp macro="[0]!InfoButton_Click" textlink="">
      <xdr:nvSpPr>
        <xdr:cNvPr id="18" name="btnInfo18">
          <a:extLst>
            <a:ext uri="{FF2B5EF4-FFF2-40B4-BE49-F238E27FC236}">
              <a16:creationId xmlns:a16="http://schemas.microsoft.com/office/drawing/2014/main" id="{00000000-0008-0000-0C00-000012000000}"/>
            </a:ext>
          </a:extLst>
        </xdr:cNvPr>
        <xdr:cNvSpPr/>
      </xdr:nvSpPr>
      <xdr:spPr>
        <a:xfrm>
          <a:off x="6162675" y="8593455"/>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47</xdr:row>
      <xdr:rowOff>495300</xdr:rowOff>
    </xdr:from>
    <xdr:to>
      <xdr:col>5</xdr:col>
      <xdr:colOff>942975</xdr:colOff>
      <xdr:row>47</xdr:row>
      <xdr:rowOff>800100</xdr:rowOff>
    </xdr:to>
    <xdr:sp macro="[0]!InfoButton_Click" textlink="">
      <xdr:nvSpPr>
        <xdr:cNvPr id="19" name="btnInfo19">
          <a:extLst>
            <a:ext uri="{FF2B5EF4-FFF2-40B4-BE49-F238E27FC236}">
              <a16:creationId xmlns:a16="http://schemas.microsoft.com/office/drawing/2014/main" id="{00000000-0008-0000-0C00-000013000000}"/>
            </a:ext>
          </a:extLst>
        </xdr:cNvPr>
        <xdr:cNvSpPr/>
      </xdr:nvSpPr>
      <xdr:spPr>
        <a:xfrm>
          <a:off x="6162675" y="877824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48</xdr:row>
      <xdr:rowOff>514350</xdr:rowOff>
    </xdr:from>
    <xdr:to>
      <xdr:col>5</xdr:col>
      <xdr:colOff>942975</xdr:colOff>
      <xdr:row>48</xdr:row>
      <xdr:rowOff>819150</xdr:rowOff>
    </xdr:to>
    <xdr:sp macro="[0]!InfoButton_Click" textlink="">
      <xdr:nvSpPr>
        <xdr:cNvPr id="20" name="btnInfo20">
          <a:extLst>
            <a:ext uri="{FF2B5EF4-FFF2-40B4-BE49-F238E27FC236}">
              <a16:creationId xmlns:a16="http://schemas.microsoft.com/office/drawing/2014/main" id="{00000000-0008-0000-0C00-000014000000}"/>
            </a:ext>
          </a:extLst>
        </xdr:cNvPr>
        <xdr:cNvSpPr/>
      </xdr:nvSpPr>
      <xdr:spPr>
        <a:xfrm>
          <a:off x="6162675" y="8957310"/>
          <a:ext cx="304800" cy="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190500</xdr:colOff>
      <xdr:row>21</xdr:row>
      <xdr:rowOff>163286</xdr:rowOff>
    </xdr:from>
    <xdr:to>
      <xdr:col>5</xdr:col>
      <xdr:colOff>1374322</xdr:colOff>
      <xdr:row>23</xdr:row>
      <xdr:rowOff>95250</xdr:rowOff>
    </xdr:to>
    <xdr:sp macro="[0]!InfoButton_Toggle" textlink="InfoButtonToggleLabel">
      <xdr:nvSpPr>
        <xdr:cNvPr id="21" name="Round Diagonal Corner Rectangle 20">
          <a:extLst>
            <a:ext uri="{FF2B5EF4-FFF2-40B4-BE49-F238E27FC236}">
              <a16:creationId xmlns:a16="http://schemas.microsoft.com/office/drawing/2014/main" id="{00000000-0008-0000-0C00-000015000000}"/>
            </a:ext>
          </a:extLst>
        </xdr:cNvPr>
        <xdr:cNvSpPr/>
      </xdr:nvSpPr>
      <xdr:spPr>
        <a:xfrm>
          <a:off x="5715000" y="4003766"/>
          <a:ext cx="917122" cy="297724"/>
        </a:xfrm>
        <a:prstGeom prst="round2DiagRect">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7E205F1-E826-49FF-95D0-E25EBF9A612F}" type="TxLink">
            <a:rPr lang="en-US" sz="1100" b="0" i="0" u="none" strike="noStrike">
              <a:solidFill>
                <a:schemeClr val="bg1"/>
              </a:solidFill>
              <a:latin typeface="Verdana"/>
              <a:ea typeface="Verdana"/>
              <a:cs typeface="Verdana"/>
            </a:rPr>
            <a:pPr marL="0" indent="0" algn="ctr"/>
            <a:t>Hide Info</a:t>
          </a:fld>
          <a:endParaRPr lang="en-US" sz="1200">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3</xdr:col>
      <xdr:colOff>1279071</xdr:colOff>
      <xdr:row>16</xdr:row>
      <xdr:rowOff>136072</xdr:rowOff>
    </xdr:from>
    <xdr:to>
      <xdr:col>3</xdr:col>
      <xdr:colOff>3279320</xdr:colOff>
      <xdr:row>19</xdr:row>
      <xdr:rowOff>13607</xdr:rowOff>
    </xdr:to>
    <xdr:sp macro="[0]!InfoButton_Color" textlink="">
      <xdr:nvSpPr>
        <xdr:cNvPr id="23" name="Rounded Rectangle 22">
          <a:extLst>
            <a:ext uri="{FF2B5EF4-FFF2-40B4-BE49-F238E27FC236}">
              <a16:creationId xmlns:a16="http://schemas.microsoft.com/office/drawing/2014/main" id="{00000000-0008-0000-0C00-000017000000}"/>
            </a:ext>
          </a:extLst>
        </xdr:cNvPr>
        <xdr:cNvSpPr/>
      </xdr:nvSpPr>
      <xdr:spPr>
        <a:xfrm>
          <a:off x="4418511" y="3062152"/>
          <a:ext cx="3809" cy="426175"/>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Verdana" panose="020B0604030504040204" pitchFamily="34" charset="0"/>
              <a:ea typeface="Verdana" panose="020B0604030504040204" pitchFamily="34" charset="0"/>
              <a:cs typeface="Verdana" panose="020B0604030504040204" pitchFamily="34" charset="0"/>
            </a:rPr>
            <a:t>Color Info Buttons</a:t>
          </a:r>
        </a:p>
      </xdr:txBody>
    </xdr:sp>
    <xdr:clientData/>
  </xdr:twoCellAnchor>
  <xdr:twoCellAnchor>
    <xdr:from>
      <xdr:col>5</xdr:col>
      <xdr:colOff>640080</xdr:colOff>
      <xdr:row>29</xdr:row>
      <xdr:rowOff>510540</xdr:rowOff>
    </xdr:from>
    <xdr:to>
      <xdr:col>5</xdr:col>
      <xdr:colOff>944880</xdr:colOff>
      <xdr:row>29</xdr:row>
      <xdr:rowOff>815340</xdr:rowOff>
    </xdr:to>
    <xdr:sp macro="[0]!InfoButton_Click" textlink="">
      <xdr:nvSpPr>
        <xdr:cNvPr id="22" name="btnInfo1">
          <a:extLst>
            <a:ext uri="{FF2B5EF4-FFF2-40B4-BE49-F238E27FC236}">
              <a16:creationId xmlns:a16="http://schemas.microsoft.com/office/drawing/2014/main" id="{00000000-0008-0000-0C00-000016000000}"/>
            </a:ext>
          </a:extLst>
        </xdr:cNvPr>
        <xdr:cNvSpPr/>
      </xdr:nvSpPr>
      <xdr:spPr>
        <a:xfrm>
          <a:off x="8869680" y="6111240"/>
          <a:ext cx="304800" cy="304800"/>
        </a:xfrm>
        <a:prstGeom prst="ellipse">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5</xdr:col>
      <xdr:colOff>638175</xdr:colOff>
      <xdr:row>49</xdr:row>
      <xdr:rowOff>514350</xdr:rowOff>
    </xdr:from>
    <xdr:to>
      <xdr:col>5</xdr:col>
      <xdr:colOff>942975</xdr:colOff>
      <xdr:row>49</xdr:row>
      <xdr:rowOff>819150</xdr:rowOff>
    </xdr:to>
    <xdr:sp macro="[0]!InfoButton_Click" textlink="">
      <xdr:nvSpPr>
        <xdr:cNvPr id="24" name="btnInfo20">
          <a:extLst>
            <a:ext uri="{FF2B5EF4-FFF2-40B4-BE49-F238E27FC236}">
              <a16:creationId xmlns:a16="http://schemas.microsoft.com/office/drawing/2014/main" id="{00000000-0008-0000-0C00-000018000000}"/>
            </a:ext>
          </a:extLst>
        </xdr:cNvPr>
        <xdr:cNvSpPr/>
      </xdr:nvSpPr>
      <xdr:spPr>
        <a:xfrm>
          <a:off x="8867775" y="3014853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50</xdr:row>
      <xdr:rowOff>514350</xdr:rowOff>
    </xdr:from>
    <xdr:to>
      <xdr:col>5</xdr:col>
      <xdr:colOff>942975</xdr:colOff>
      <xdr:row>50</xdr:row>
      <xdr:rowOff>819150</xdr:rowOff>
    </xdr:to>
    <xdr:sp macro="[0]!InfoButton_Click" textlink="">
      <xdr:nvSpPr>
        <xdr:cNvPr id="25" name="btnInfo20">
          <a:extLst>
            <a:ext uri="{FF2B5EF4-FFF2-40B4-BE49-F238E27FC236}">
              <a16:creationId xmlns:a16="http://schemas.microsoft.com/office/drawing/2014/main" id="{00000000-0008-0000-0C00-000019000000}"/>
            </a:ext>
          </a:extLst>
        </xdr:cNvPr>
        <xdr:cNvSpPr/>
      </xdr:nvSpPr>
      <xdr:spPr>
        <a:xfrm>
          <a:off x="8867775" y="3141345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51</xdr:row>
      <xdr:rowOff>514350</xdr:rowOff>
    </xdr:from>
    <xdr:to>
      <xdr:col>5</xdr:col>
      <xdr:colOff>942975</xdr:colOff>
      <xdr:row>51</xdr:row>
      <xdr:rowOff>819150</xdr:rowOff>
    </xdr:to>
    <xdr:sp macro="[0]!InfoButton_Click" textlink="">
      <xdr:nvSpPr>
        <xdr:cNvPr id="26" name="btnInfo20">
          <a:extLst>
            <a:ext uri="{FF2B5EF4-FFF2-40B4-BE49-F238E27FC236}">
              <a16:creationId xmlns:a16="http://schemas.microsoft.com/office/drawing/2014/main" id="{00000000-0008-0000-0C00-00001A000000}"/>
            </a:ext>
          </a:extLst>
        </xdr:cNvPr>
        <xdr:cNvSpPr/>
      </xdr:nvSpPr>
      <xdr:spPr>
        <a:xfrm>
          <a:off x="8867775" y="3267837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52</xdr:row>
      <xdr:rowOff>514350</xdr:rowOff>
    </xdr:from>
    <xdr:to>
      <xdr:col>5</xdr:col>
      <xdr:colOff>942975</xdr:colOff>
      <xdr:row>52</xdr:row>
      <xdr:rowOff>819150</xdr:rowOff>
    </xdr:to>
    <xdr:sp macro="[0]!InfoButton_Click" textlink="">
      <xdr:nvSpPr>
        <xdr:cNvPr id="27" name="btnInfo20">
          <a:extLst>
            <a:ext uri="{FF2B5EF4-FFF2-40B4-BE49-F238E27FC236}">
              <a16:creationId xmlns:a16="http://schemas.microsoft.com/office/drawing/2014/main" id="{00000000-0008-0000-0C00-00001B000000}"/>
            </a:ext>
          </a:extLst>
        </xdr:cNvPr>
        <xdr:cNvSpPr/>
      </xdr:nvSpPr>
      <xdr:spPr>
        <a:xfrm>
          <a:off x="8867775" y="3394329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53</xdr:row>
      <xdr:rowOff>514350</xdr:rowOff>
    </xdr:from>
    <xdr:to>
      <xdr:col>5</xdr:col>
      <xdr:colOff>942975</xdr:colOff>
      <xdr:row>53</xdr:row>
      <xdr:rowOff>819150</xdr:rowOff>
    </xdr:to>
    <xdr:sp macro="[0]!InfoButton_Click" textlink="">
      <xdr:nvSpPr>
        <xdr:cNvPr id="28" name="btnInfo20">
          <a:extLst>
            <a:ext uri="{FF2B5EF4-FFF2-40B4-BE49-F238E27FC236}">
              <a16:creationId xmlns:a16="http://schemas.microsoft.com/office/drawing/2014/main" id="{00000000-0008-0000-0C00-00001C000000}"/>
            </a:ext>
          </a:extLst>
        </xdr:cNvPr>
        <xdr:cNvSpPr/>
      </xdr:nvSpPr>
      <xdr:spPr>
        <a:xfrm>
          <a:off x="8867775" y="3520821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54</xdr:row>
      <xdr:rowOff>514350</xdr:rowOff>
    </xdr:from>
    <xdr:to>
      <xdr:col>5</xdr:col>
      <xdr:colOff>942975</xdr:colOff>
      <xdr:row>54</xdr:row>
      <xdr:rowOff>819150</xdr:rowOff>
    </xdr:to>
    <xdr:sp macro="[0]!InfoButton_Click" textlink="">
      <xdr:nvSpPr>
        <xdr:cNvPr id="29" name="btnInfo20">
          <a:extLst>
            <a:ext uri="{FF2B5EF4-FFF2-40B4-BE49-F238E27FC236}">
              <a16:creationId xmlns:a16="http://schemas.microsoft.com/office/drawing/2014/main" id="{00000000-0008-0000-0C00-00001D000000}"/>
            </a:ext>
          </a:extLst>
        </xdr:cNvPr>
        <xdr:cNvSpPr/>
      </xdr:nvSpPr>
      <xdr:spPr>
        <a:xfrm>
          <a:off x="8867775" y="3647313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55</xdr:row>
      <xdr:rowOff>514350</xdr:rowOff>
    </xdr:from>
    <xdr:to>
      <xdr:col>5</xdr:col>
      <xdr:colOff>942975</xdr:colOff>
      <xdr:row>55</xdr:row>
      <xdr:rowOff>819150</xdr:rowOff>
    </xdr:to>
    <xdr:sp macro="[0]!InfoButton_Click" textlink="">
      <xdr:nvSpPr>
        <xdr:cNvPr id="30" name="btnInfo20">
          <a:extLst>
            <a:ext uri="{FF2B5EF4-FFF2-40B4-BE49-F238E27FC236}">
              <a16:creationId xmlns:a16="http://schemas.microsoft.com/office/drawing/2014/main" id="{00000000-0008-0000-0C00-00001E000000}"/>
            </a:ext>
          </a:extLst>
        </xdr:cNvPr>
        <xdr:cNvSpPr/>
      </xdr:nvSpPr>
      <xdr:spPr>
        <a:xfrm>
          <a:off x="8867775" y="3773805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56</xdr:row>
      <xdr:rowOff>476250</xdr:rowOff>
    </xdr:from>
    <xdr:to>
      <xdr:col>5</xdr:col>
      <xdr:colOff>942975</xdr:colOff>
      <xdr:row>56</xdr:row>
      <xdr:rowOff>781050</xdr:rowOff>
    </xdr:to>
    <xdr:sp macro="[0]!InfoButton_Click" textlink="">
      <xdr:nvSpPr>
        <xdr:cNvPr id="31" name="btnInfo16">
          <a:extLst>
            <a:ext uri="{FF2B5EF4-FFF2-40B4-BE49-F238E27FC236}">
              <a16:creationId xmlns:a16="http://schemas.microsoft.com/office/drawing/2014/main" id="{00000000-0008-0000-0C00-00001F000000}"/>
            </a:ext>
          </a:extLst>
        </xdr:cNvPr>
        <xdr:cNvSpPr/>
      </xdr:nvSpPr>
      <xdr:spPr>
        <a:xfrm>
          <a:off x="8867775" y="2505075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57</xdr:row>
      <xdr:rowOff>476250</xdr:rowOff>
    </xdr:from>
    <xdr:to>
      <xdr:col>5</xdr:col>
      <xdr:colOff>942975</xdr:colOff>
      <xdr:row>57</xdr:row>
      <xdr:rowOff>781050</xdr:rowOff>
    </xdr:to>
    <xdr:sp macro="[0]!InfoButton_Click" textlink="">
      <xdr:nvSpPr>
        <xdr:cNvPr id="32" name="btnInfo17">
          <a:extLst>
            <a:ext uri="{FF2B5EF4-FFF2-40B4-BE49-F238E27FC236}">
              <a16:creationId xmlns:a16="http://schemas.microsoft.com/office/drawing/2014/main" id="{00000000-0008-0000-0C00-000020000000}"/>
            </a:ext>
          </a:extLst>
        </xdr:cNvPr>
        <xdr:cNvSpPr/>
      </xdr:nvSpPr>
      <xdr:spPr>
        <a:xfrm>
          <a:off x="8867775" y="2631567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58</xdr:row>
      <xdr:rowOff>485775</xdr:rowOff>
    </xdr:from>
    <xdr:to>
      <xdr:col>5</xdr:col>
      <xdr:colOff>942975</xdr:colOff>
      <xdr:row>58</xdr:row>
      <xdr:rowOff>790575</xdr:rowOff>
    </xdr:to>
    <xdr:sp macro="[0]!InfoButton_Click" textlink="">
      <xdr:nvSpPr>
        <xdr:cNvPr id="33" name="btnInfo18">
          <a:extLst>
            <a:ext uri="{FF2B5EF4-FFF2-40B4-BE49-F238E27FC236}">
              <a16:creationId xmlns:a16="http://schemas.microsoft.com/office/drawing/2014/main" id="{00000000-0008-0000-0C00-000021000000}"/>
            </a:ext>
          </a:extLst>
        </xdr:cNvPr>
        <xdr:cNvSpPr/>
      </xdr:nvSpPr>
      <xdr:spPr>
        <a:xfrm>
          <a:off x="8867775" y="27590115"/>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59</xdr:row>
      <xdr:rowOff>495300</xdr:rowOff>
    </xdr:from>
    <xdr:to>
      <xdr:col>5</xdr:col>
      <xdr:colOff>942975</xdr:colOff>
      <xdr:row>59</xdr:row>
      <xdr:rowOff>800100</xdr:rowOff>
    </xdr:to>
    <xdr:sp macro="[0]!InfoButton_Click" textlink="">
      <xdr:nvSpPr>
        <xdr:cNvPr id="34" name="btnInfo19">
          <a:extLst>
            <a:ext uri="{FF2B5EF4-FFF2-40B4-BE49-F238E27FC236}">
              <a16:creationId xmlns:a16="http://schemas.microsoft.com/office/drawing/2014/main" id="{00000000-0008-0000-0C00-000022000000}"/>
            </a:ext>
          </a:extLst>
        </xdr:cNvPr>
        <xdr:cNvSpPr/>
      </xdr:nvSpPr>
      <xdr:spPr>
        <a:xfrm>
          <a:off x="8867775" y="2886456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60</xdr:row>
      <xdr:rowOff>514350</xdr:rowOff>
    </xdr:from>
    <xdr:to>
      <xdr:col>5</xdr:col>
      <xdr:colOff>942975</xdr:colOff>
      <xdr:row>60</xdr:row>
      <xdr:rowOff>819150</xdr:rowOff>
    </xdr:to>
    <xdr:sp macro="[0]!InfoButton_Click" textlink="">
      <xdr:nvSpPr>
        <xdr:cNvPr id="36" name="btnInfo20">
          <a:extLst>
            <a:ext uri="{FF2B5EF4-FFF2-40B4-BE49-F238E27FC236}">
              <a16:creationId xmlns:a16="http://schemas.microsoft.com/office/drawing/2014/main" id="{00000000-0008-0000-0C00-000024000000}"/>
            </a:ext>
          </a:extLst>
        </xdr:cNvPr>
        <xdr:cNvSpPr/>
      </xdr:nvSpPr>
      <xdr:spPr>
        <a:xfrm>
          <a:off x="8867775" y="3141345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61</xdr:row>
      <xdr:rowOff>514350</xdr:rowOff>
    </xdr:from>
    <xdr:to>
      <xdr:col>5</xdr:col>
      <xdr:colOff>942975</xdr:colOff>
      <xdr:row>61</xdr:row>
      <xdr:rowOff>819150</xdr:rowOff>
    </xdr:to>
    <xdr:sp macro="[0]!InfoButton_Click" textlink="">
      <xdr:nvSpPr>
        <xdr:cNvPr id="37" name="btnInfo20">
          <a:extLst>
            <a:ext uri="{FF2B5EF4-FFF2-40B4-BE49-F238E27FC236}">
              <a16:creationId xmlns:a16="http://schemas.microsoft.com/office/drawing/2014/main" id="{00000000-0008-0000-0C00-000025000000}"/>
            </a:ext>
          </a:extLst>
        </xdr:cNvPr>
        <xdr:cNvSpPr/>
      </xdr:nvSpPr>
      <xdr:spPr>
        <a:xfrm>
          <a:off x="8867775" y="3267837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62</xdr:row>
      <xdr:rowOff>514350</xdr:rowOff>
    </xdr:from>
    <xdr:to>
      <xdr:col>5</xdr:col>
      <xdr:colOff>942975</xdr:colOff>
      <xdr:row>62</xdr:row>
      <xdr:rowOff>819150</xdr:rowOff>
    </xdr:to>
    <xdr:sp macro="[0]!InfoButton_Click" textlink="">
      <xdr:nvSpPr>
        <xdr:cNvPr id="38" name="btnInfo20">
          <a:extLst>
            <a:ext uri="{FF2B5EF4-FFF2-40B4-BE49-F238E27FC236}">
              <a16:creationId xmlns:a16="http://schemas.microsoft.com/office/drawing/2014/main" id="{00000000-0008-0000-0C00-000026000000}"/>
            </a:ext>
          </a:extLst>
        </xdr:cNvPr>
        <xdr:cNvSpPr/>
      </xdr:nvSpPr>
      <xdr:spPr>
        <a:xfrm>
          <a:off x="8867775" y="3394329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63</xdr:row>
      <xdr:rowOff>514350</xdr:rowOff>
    </xdr:from>
    <xdr:to>
      <xdr:col>5</xdr:col>
      <xdr:colOff>942975</xdr:colOff>
      <xdr:row>63</xdr:row>
      <xdr:rowOff>819150</xdr:rowOff>
    </xdr:to>
    <xdr:sp macro="[0]!InfoButton_Click" textlink="">
      <xdr:nvSpPr>
        <xdr:cNvPr id="39" name="btnInfo20">
          <a:extLst>
            <a:ext uri="{FF2B5EF4-FFF2-40B4-BE49-F238E27FC236}">
              <a16:creationId xmlns:a16="http://schemas.microsoft.com/office/drawing/2014/main" id="{00000000-0008-0000-0C00-000027000000}"/>
            </a:ext>
          </a:extLst>
        </xdr:cNvPr>
        <xdr:cNvSpPr/>
      </xdr:nvSpPr>
      <xdr:spPr>
        <a:xfrm>
          <a:off x="8867775" y="3520821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64</xdr:row>
      <xdr:rowOff>514350</xdr:rowOff>
    </xdr:from>
    <xdr:to>
      <xdr:col>5</xdr:col>
      <xdr:colOff>942975</xdr:colOff>
      <xdr:row>64</xdr:row>
      <xdr:rowOff>819150</xdr:rowOff>
    </xdr:to>
    <xdr:sp macro="[0]!InfoButton_Click" textlink="">
      <xdr:nvSpPr>
        <xdr:cNvPr id="40" name="btnInfo20">
          <a:extLst>
            <a:ext uri="{FF2B5EF4-FFF2-40B4-BE49-F238E27FC236}">
              <a16:creationId xmlns:a16="http://schemas.microsoft.com/office/drawing/2014/main" id="{00000000-0008-0000-0C00-000028000000}"/>
            </a:ext>
          </a:extLst>
        </xdr:cNvPr>
        <xdr:cNvSpPr/>
      </xdr:nvSpPr>
      <xdr:spPr>
        <a:xfrm>
          <a:off x="8867775" y="3647313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65</xdr:row>
      <xdr:rowOff>514350</xdr:rowOff>
    </xdr:from>
    <xdr:to>
      <xdr:col>5</xdr:col>
      <xdr:colOff>942975</xdr:colOff>
      <xdr:row>65</xdr:row>
      <xdr:rowOff>819150</xdr:rowOff>
    </xdr:to>
    <xdr:sp macro="[0]!InfoButton_Click" textlink="">
      <xdr:nvSpPr>
        <xdr:cNvPr id="41" name="btnInfo20">
          <a:extLst>
            <a:ext uri="{FF2B5EF4-FFF2-40B4-BE49-F238E27FC236}">
              <a16:creationId xmlns:a16="http://schemas.microsoft.com/office/drawing/2014/main" id="{00000000-0008-0000-0C00-000029000000}"/>
            </a:ext>
          </a:extLst>
        </xdr:cNvPr>
        <xdr:cNvSpPr/>
      </xdr:nvSpPr>
      <xdr:spPr>
        <a:xfrm>
          <a:off x="8867775" y="3773805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66</xdr:row>
      <xdr:rowOff>514350</xdr:rowOff>
    </xdr:from>
    <xdr:to>
      <xdr:col>5</xdr:col>
      <xdr:colOff>942975</xdr:colOff>
      <xdr:row>66</xdr:row>
      <xdr:rowOff>819150</xdr:rowOff>
    </xdr:to>
    <xdr:sp macro="[0]!InfoButton_Click" textlink="">
      <xdr:nvSpPr>
        <xdr:cNvPr id="42" name="btnInfo20">
          <a:extLst>
            <a:ext uri="{FF2B5EF4-FFF2-40B4-BE49-F238E27FC236}">
              <a16:creationId xmlns:a16="http://schemas.microsoft.com/office/drawing/2014/main" id="{00000000-0008-0000-0C00-00002A000000}"/>
            </a:ext>
          </a:extLst>
        </xdr:cNvPr>
        <xdr:cNvSpPr/>
      </xdr:nvSpPr>
      <xdr:spPr>
        <a:xfrm>
          <a:off x="8867775" y="3900297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67</xdr:row>
      <xdr:rowOff>514350</xdr:rowOff>
    </xdr:from>
    <xdr:to>
      <xdr:col>5</xdr:col>
      <xdr:colOff>942975</xdr:colOff>
      <xdr:row>67</xdr:row>
      <xdr:rowOff>819150</xdr:rowOff>
    </xdr:to>
    <xdr:sp macro="[0]!InfoButton_Click" textlink="">
      <xdr:nvSpPr>
        <xdr:cNvPr id="43" name="btnInfo20">
          <a:extLst>
            <a:ext uri="{FF2B5EF4-FFF2-40B4-BE49-F238E27FC236}">
              <a16:creationId xmlns:a16="http://schemas.microsoft.com/office/drawing/2014/main" id="{00000000-0008-0000-0C00-00002B000000}"/>
            </a:ext>
          </a:extLst>
        </xdr:cNvPr>
        <xdr:cNvSpPr/>
      </xdr:nvSpPr>
      <xdr:spPr>
        <a:xfrm>
          <a:off x="8867775" y="5291709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68</xdr:row>
      <xdr:rowOff>514350</xdr:rowOff>
    </xdr:from>
    <xdr:to>
      <xdr:col>5</xdr:col>
      <xdr:colOff>942975</xdr:colOff>
      <xdr:row>68</xdr:row>
      <xdr:rowOff>819150</xdr:rowOff>
    </xdr:to>
    <xdr:sp macro="[0]!InfoButton_Click" textlink="">
      <xdr:nvSpPr>
        <xdr:cNvPr id="44" name="btnInfo40">
          <a:extLst>
            <a:ext uri="{FF2B5EF4-FFF2-40B4-BE49-F238E27FC236}">
              <a16:creationId xmlns:a16="http://schemas.microsoft.com/office/drawing/2014/main" id="{00000000-0008-0000-0C00-00002C000000}"/>
            </a:ext>
          </a:extLst>
        </xdr:cNvPr>
        <xdr:cNvSpPr/>
      </xdr:nvSpPr>
      <xdr:spPr>
        <a:xfrm>
          <a:off x="8867775" y="54182010"/>
          <a:ext cx="304800" cy="3048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812016</xdr:colOff>
      <xdr:row>7</xdr:row>
      <xdr:rowOff>155666</xdr:rowOff>
    </xdr:from>
    <xdr:to>
      <xdr:col>21</xdr:col>
      <xdr:colOff>571499</xdr:colOff>
      <xdr:row>17</xdr:row>
      <xdr:rowOff>590263</xdr:rowOff>
    </xdr:to>
    <xdr:grpSp>
      <xdr:nvGrpSpPr>
        <xdr:cNvPr id="17" name="Group 16">
          <a:extLst>
            <a:ext uri="{FF2B5EF4-FFF2-40B4-BE49-F238E27FC236}">
              <a16:creationId xmlns:a16="http://schemas.microsoft.com/office/drawing/2014/main" id="{00000000-0008-0000-1100-000011000000}"/>
            </a:ext>
          </a:extLst>
        </xdr:cNvPr>
        <xdr:cNvGrpSpPr/>
      </xdr:nvGrpSpPr>
      <xdr:grpSpPr>
        <a:xfrm>
          <a:off x="6961356" y="2014946"/>
          <a:ext cx="5413523" cy="3177797"/>
          <a:chOff x="5396405" y="2165758"/>
          <a:chExt cx="4762501" cy="3156973"/>
        </a:xfrm>
      </xdr:grpSpPr>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5396405" y="3199103"/>
            <a:ext cx="4762501" cy="2123628"/>
          </a:xfrm>
          <a:prstGeom prst="rect">
            <a:avLst/>
          </a:prstGeom>
          <a:noFill/>
        </xdr:spPr>
        <xdr:txBody>
          <a:bodyPr vertOverflow="clip" horzOverflow="clip" wrap="square" lIns="182880" tIns="146304" rIns="182880" bIns="146304" rtlCol="0" anchor="t">
            <a:spAutoFit/>
          </a:bodyPr>
          <a:lstStyle/>
          <a:p>
            <a:pPr>
              <a:lnSpc>
                <a:spcPct val="90000"/>
              </a:lnSpc>
              <a:spcAft>
                <a:spcPts val="600"/>
              </a:spcAft>
            </a:pPr>
            <a:r>
              <a:rPr lang="en-US" sz="6000" b="1" dirty="0" err="1">
                <a:solidFill>
                  <a:srgbClr val="FFC000"/>
                </a:solidFill>
                <a:latin typeface="+mj-lt"/>
              </a:rPr>
              <a:t>N   </a:t>
            </a:r>
            <a:r>
              <a:rPr lang="en-US" sz="6000" b="1" baseline="0" dirty="0" err="1">
                <a:solidFill>
                  <a:srgbClr val="FFC000"/>
                </a:solidFill>
                <a:latin typeface="+mj-lt"/>
              </a:rPr>
              <a:t>  M </a:t>
            </a:r>
            <a:r>
              <a:rPr lang="en-US" sz="6000" b="1" dirty="0" err="1">
                <a:solidFill>
                  <a:srgbClr val="FFC000"/>
                </a:solidFill>
                <a:latin typeface="+mj-lt"/>
              </a:rPr>
              <a:t>B </a:t>
            </a:r>
            <a:r>
              <a:rPr lang="en-US" sz="6000" b="1" baseline="0" dirty="0" err="1">
                <a:solidFill>
                  <a:srgbClr val="FFC000"/>
                </a:solidFill>
                <a:latin typeface="+mj-lt"/>
              </a:rPr>
              <a:t>O L T</a:t>
            </a:r>
            <a:endParaRPr lang="en-US" sz="6000" b="1" dirty="0" err="1">
              <a:solidFill>
                <a:srgbClr val="FFC000"/>
              </a:solidFill>
              <a:latin typeface="+mj-lt"/>
            </a:endParaRPr>
          </a:p>
        </xdr:txBody>
      </xdr:sp>
      <xdr:pic>
        <xdr:nvPicPr>
          <xdr:cNvPr id="16" name="Picture 15" descr="Image result for Cloud Icon">
            <a:extLst>
              <a:ext uri="{FF2B5EF4-FFF2-40B4-BE49-F238E27FC236}">
                <a16:creationId xmlns:a16="http://schemas.microsoft.com/office/drawing/2014/main" id="{00000000-0008-0000-1100-000010000000}"/>
              </a:ext>
            </a:extLst>
          </xdr:cNvPr>
          <xdr:cNvPicPr>
            <a:picLocks noChangeAspect="1" noChangeArrowheads="1"/>
          </xdr:cNvPicPr>
        </xdr:nvPicPr>
        <xdr:blipFill rotWithShape="1">
          <a:blip xmlns:r="http://schemas.openxmlformats.org/officeDocument/2006/relationships" r:embed="rId1">
            <a:duotone>
              <a:schemeClr val="accent4">
                <a:shade val="45000"/>
                <a:satMod val="135000"/>
              </a:schemeClr>
              <a:prstClr val="white"/>
            </a:duotone>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l="668" t="18881" r="-668" b="18633"/>
          <a:stretch/>
        </xdr:blipFill>
        <xdr:spPr bwMode="auto">
          <a:xfrm>
            <a:off x="5464632" y="2165758"/>
            <a:ext cx="2579733" cy="123008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19</xdr:col>
      <xdr:colOff>213360</xdr:colOff>
      <xdr:row>1</xdr:row>
      <xdr:rowOff>7620</xdr:rowOff>
    </xdr:from>
    <xdr:to>
      <xdr:col>21</xdr:col>
      <xdr:colOff>38100</xdr:colOff>
      <xdr:row>1</xdr:row>
      <xdr:rowOff>426720</xdr:rowOff>
    </xdr:to>
    <xdr:sp macro="[0]!StartButton" textlink="">
      <xdr:nvSpPr>
        <xdr:cNvPr id="23" name="Rectangle 22">
          <a:extLst>
            <a:ext uri="{FF2B5EF4-FFF2-40B4-BE49-F238E27FC236}">
              <a16:creationId xmlns:a16="http://schemas.microsoft.com/office/drawing/2014/main" id="{00000000-0008-0000-1100-000017000000}"/>
            </a:ext>
          </a:extLst>
        </xdr:cNvPr>
        <xdr:cNvSpPr/>
      </xdr:nvSpPr>
      <xdr:spPr bwMode="auto">
        <a:xfrm>
          <a:off x="9753600" y="83820"/>
          <a:ext cx="1303020" cy="419100"/>
        </a:xfrm>
        <a:prstGeom prst="rect">
          <a:avLst/>
        </a:prstGeom>
        <a:solidFill>
          <a:schemeClr val="accent4">
            <a:lumMod val="90000"/>
            <a:lumOff val="10000"/>
          </a:schemeClr>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gradFill>
                <a:gsLst>
                  <a:gs pos="0">
                    <a:srgbClr val="FFFFFF"/>
                  </a:gs>
                  <a:gs pos="100000">
                    <a:srgbClr val="FFFFFF"/>
                  </a:gs>
                </a:gsLst>
                <a:lin ang="5400000" scaled="0"/>
              </a:gradFill>
              <a:ea typeface="Segoe UI" pitchFamily="34" charset="0"/>
              <a:cs typeface="Segoe UI" pitchFamily="34" charset="0"/>
            </a:rPr>
            <a:t>Start</a:t>
          </a:r>
        </a:p>
      </xdr:txBody>
    </xdr:sp>
    <xdr:clientData/>
  </xdr:twoCellAnchor>
  <xdr:twoCellAnchor editAs="oneCell">
    <xdr:from>
      <xdr:col>13</xdr:col>
      <xdr:colOff>533400</xdr:colOff>
      <xdr:row>11</xdr:row>
      <xdr:rowOff>266700</xdr:rowOff>
    </xdr:from>
    <xdr:to>
      <xdr:col>15</xdr:col>
      <xdr:colOff>510540</xdr:colOff>
      <xdr:row>15</xdr:row>
      <xdr:rowOff>190500</xdr:rowOff>
    </xdr:to>
    <xdr:pic>
      <xdr:nvPicPr>
        <xdr:cNvPr id="10" name="Picture 9" descr="Image result for black lightning bolt icon">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41820" y="3223260"/>
          <a:ext cx="1021080" cy="1021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69850</xdr:colOff>
      <xdr:row>8</xdr:row>
      <xdr:rowOff>7620</xdr:rowOff>
    </xdr:from>
    <xdr:to>
      <xdr:col>1</xdr:col>
      <xdr:colOff>466090</xdr:colOff>
      <xdr:row>10</xdr:row>
      <xdr:rowOff>62230</xdr:rowOff>
    </xdr:to>
    <xdr:grpSp>
      <xdr:nvGrpSpPr>
        <xdr:cNvPr id="70" name="Group 69">
          <a:extLst>
            <a:ext uri="{FF2B5EF4-FFF2-40B4-BE49-F238E27FC236}">
              <a16:creationId xmlns:a16="http://schemas.microsoft.com/office/drawing/2014/main" id="{00000000-0008-0000-1200-000046000000}"/>
            </a:ext>
          </a:extLst>
        </xdr:cNvPr>
        <xdr:cNvGrpSpPr/>
      </xdr:nvGrpSpPr>
      <xdr:grpSpPr>
        <a:xfrm>
          <a:off x="69850" y="2350770"/>
          <a:ext cx="681990" cy="588010"/>
          <a:chOff x="186690" y="897890"/>
          <a:chExt cx="1073150" cy="1068070"/>
        </a:xfrm>
      </xdr:grpSpPr>
      <xdr:sp macro="" textlink="">
        <xdr:nvSpPr>
          <xdr:cNvPr id="27" name="Oval 26">
            <a:extLst>
              <a:ext uri="{FF2B5EF4-FFF2-40B4-BE49-F238E27FC236}">
                <a16:creationId xmlns:a16="http://schemas.microsoft.com/office/drawing/2014/main" id="{00000000-0008-0000-1200-00001B000000}"/>
              </a:ext>
            </a:extLst>
          </xdr:cNvPr>
          <xdr:cNvSpPr/>
        </xdr:nvSpPr>
        <xdr:spPr bwMode="auto">
          <a:xfrm>
            <a:off x="186690" y="897890"/>
            <a:ext cx="1073150" cy="1068070"/>
          </a:xfrm>
          <a:prstGeom prst="ellipse">
            <a:avLst/>
          </a:prstGeom>
          <a:solidFill>
            <a:sysClr val="window" lastClr="FFFFFF"/>
          </a:solidFill>
          <a:ln w="19050">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l" defTabSz="932472" fontAlgn="base">
              <a:lnSpc>
                <a:spcPct val="90000"/>
              </a:lnSpc>
              <a:spcBef>
                <a:spcPct val="0"/>
              </a:spcBef>
              <a:spcAft>
                <a:spcPct val="0"/>
              </a:spcAft>
            </a:pPr>
            <a:endParaRPr lang="en-US" sz="2400" dirty="0" err="1">
              <a:solidFill>
                <a:schemeClr val="bg2"/>
              </a:solidFill>
              <a:ea typeface="Segoe UI" pitchFamily="34" charset="0"/>
              <a:cs typeface="Segoe UI" pitchFamily="34" charset="0"/>
            </a:endParaRPr>
          </a:p>
        </xdr:txBody>
      </xdr:sp>
      <xdr:pic>
        <xdr:nvPicPr>
          <xdr:cNvPr id="69" name="Picture 68" descr="Image result for coding icon">
            <a:extLst>
              <a:ext uri="{FF2B5EF4-FFF2-40B4-BE49-F238E27FC236}">
                <a16:creationId xmlns:a16="http://schemas.microsoft.com/office/drawing/2014/main" id="{00000000-0008-0000-1200-000045000000}"/>
              </a:ext>
            </a:extLst>
          </xdr:cNvPr>
          <xdr:cNvPicPr>
            <a:picLocks noChangeAspect="1" noChangeArrowheads="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50520" y="1051560"/>
            <a:ext cx="765000" cy="777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0</xdr:colOff>
      <xdr:row>16</xdr:row>
      <xdr:rowOff>0</xdr:rowOff>
    </xdr:from>
    <xdr:to>
      <xdr:col>3</xdr:col>
      <xdr:colOff>6858</xdr:colOff>
      <xdr:row>16</xdr:row>
      <xdr:rowOff>292608</xdr:rowOff>
    </xdr:to>
    <xdr:sp macro="[0]!btnLevel.btnLevel" textlink="">
      <xdr:nvSpPr>
        <xdr:cNvPr id="148" name="btnLevelS4B0">
          <a:extLst>
            <a:ext uri="{FF2B5EF4-FFF2-40B4-BE49-F238E27FC236}">
              <a16:creationId xmlns:a16="http://schemas.microsoft.com/office/drawing/2014/main" id="{00000000-0008-0000-1200-000094000000}"/>
            </a:ext>
          </a:extLst>
        </xdr:cNvPr>
        <xdr:cNvSpPr/>
      </xdr:nvSpPr>
      <xdr:spPr>
        <a:xfrm>
          <a:off x="2933700" y="4191000"/>
          <a:ext cx="29260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16</xdr:row>
      <xdr:rowOff>0</xdr:rowOff>
    </xdr:from>
    <xdr:to>
      <xdr:col>3</xdr:col>
      <xdr:colOff>474183</xdr:colOff>
      <xdr:row>16</xdr:row>
      <xdr:rowOff>292608</xdr:rowOff>
    </xdr:to>
    <xdr:sp macro="[0]!btnLevel.btnLevel" textlink="">
      <xdr:nvSpPr>
        <xdr:cNvPr id="149" name="btnLevelS4B1">
          <a:extLst>
            <a:ext uri="{FF2B5EF4-FFF2-40B4-BE49-F238E27FC236}">
              <a16:creationId xmlns:a16="http://schemas.microsoft.com/office/drawing/2014/main" id="{00000000-0008-0000-1200-000095000000}"/>
            </a:ext>
          </a:extLst>
        </xdr:cNvPr>
        <xdr:cNvSpPr/>
      </xdr:nvSpPr>
      <xdr:spPr>
        <a:xfrm>
          <a:off x="3401025" y="41910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16</xdr:row>
      <xdr:rowOff>0</xdr:rowOff>
    </xdr:from>
    <xdr:to>
      <xdr:col>3</xdr:col>
      <xdr:colOff>941508</xdr:colOff>
      <xdr:row>16</xdr:row>
      <xdr:rowOff>292608</xdr:rowOff>
    </xdr:to>
    <xdr:sp macro="[0]!btnLevel.btnLevel" textlink="">
      <xdr:nvSpPr>
        <xdr:cNvPr id="150" name="btnLevelS4B2">
          <a:extLst>
            <a:ext uri="{FF2B5EF4-FFF2-40B4-BE49-F238E27FC236}">
              <a16:creationId xmlns:a16="http://schemas.microsoft.com/office/drawing/2014/main" id="{00000000-0008-0000-1200-000096000000}"/>
            </a:ext>
          </a:extLst>
        </xdr:cNvPr>
        <xdr:cNvSpPr/>
      </xdr:nvSpPr>
      <xdr:spPr>
        <a:xfrm>
          <a:off x="3868350" y="41910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16</xdr:row>
      <xdr:rowOff>0</xdr:rowOff>
    </xdr:from>
    <xdr:to>
      <xdr:col>3</xdr:col>
      <xdr:colOff>1408833</xdr:colOff>
      <xdr:row>16</xdr:row>
      <xdr:rowOff>292608</xdr:rowOff>
    </xdr:to>
    <xdr:sp macro="[0]!btnLevel.btnLevel" textlink="">
      <xdr:nvSpPr>
        <xdr:cNvPr id="151" name="btnLevelS4B3">
          <a:extLst>
            <a:ext uri="{FF2B5EF4-FFF2-40B4-BE49-F238E27FC236}">
              <a16:creationId xmlns:a16="http://schemas.microsoft.com/office/drawing/2014/main" id="{00000000-0008-0000-1200-000097000000}"/>
            </a:ext>
          </a:extLst>
        </xdr:cNvPr>
        <xdr:cNvSpPr/>
      </xdr:nvSpPr>
      <xdr:spPr>
        <a:xfrm>
          <a:off x="4335675" y="41910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16</xdr:row>
      <xdr:rowOff>0</xdr:rowOff>
    </xdr:from>
    <xdr:to>
      <xdr:col>3</xdr:col>
      <xdr:colOff>1876158</xdr:colOff>
      <xdr:row>16</xdr:row>
      <xdr:rowOff>292608</xdr:rowOff>
    </xdr:to>
    <xdr:sp macro="[0]!btnLevel.btnLevel" textlink="">
      <xdr:nvSpPr>
        <xdr:cNvPr id="152" name="btnLevelS4B4">
          <a:extLst>
            <a:ext uri="{FF2B5EF4-FFF2-40B4-BE49-F238E27FC236}">
              <a16:creationId xmlns:a16="http://schemas.microsoft.com/office/drawing/2014/main" id="{00000000-0008-0000-1200-000098000000}"/>
            </a:ext>
          </a:extLst>
        </xdr:cNvPr>
        <xdr:cNvSpPr/>
      </xdr:nvSpPr>
      <xdr:spPr>
        <a:xfrm>
          <a:off x="4803000" y="41910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16</xdr:row>
      <xdr:rowOff>0</xdr:rowOff>
    </xdr:from>
    <xdr:to>
      <xdr:col>4</xdr:col>
      <xdr:colOff>267033</xdr:colOff>
      <xdr:row>16</xdr:row>
      <xdr:rowOff>292608</xdr:rowOff>
    </xdr:to>
    <xdr:sp macro="[0]!btnLevel.btnLevel" textlink="">
      <xdr:nvSpPr>
        <xdr:cNvPr id="153" name="btnLevelS4B5">
          <a:extLst>
            <a:ext uri="{FF2B5EF4-FFF2-40B4-BE49-F238E27FC236}">
              <a16:creationId xmlns:a16="http://schemas.microsoft.com/office/drawing/2014/main" id="{00000000-0008-0000-1200-000099000000}"/>
            </a:ext>
          </a:extLst>
        </xdr:cNvPr>
        <xdr:cNvSpPr/>
      </xdr:nvSpPr>
      <xdr:spPr>
        <a:xfrm>
          <a:off x="5270325" y="41910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30</xdr:row>
      <xdr:rowOff>0</xdr:rowOff>
    </xdr:from>
    <xdr:to>
      <xdr:col>3</xdr:col>
      <xdr:colOff>6858</xdr:colOff>
      <xdr:row>31</xdr:row>
      <xdr:rowOff>47752</xdr:rowOff>
    </xdr:to>
    <xdr:sp macro="[0]!btnLevel.btnLevel" textlink="">
      <xdr:nvSpPr>
        <xdr:cNvPr id="154" name="btnLevelS5B0">
          <a:extLst>
            <a:ext uri="{FF2B5EF4-FFF2-40B4-BE49-F238E27FC236}">
              <a16:creationId xmlns:a16="http://schemas.microsoft.com/office/drawing/2014/main" id="{00000000-0008-0000-1200-00009A000000}"/>
            </a:ext>
          </a:extLst>
        </xdr:cNvPr>
        <xdr:cNvSpPr/>
      </xdr:nvSpPr>
      <xdr:spPr>
        <a:xfrm>
          <a:off x="2933700" y="9829800"/>
          <a:ext cx="298958" cy="301752"/>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30</xdr:row>
      <xdr:rowOff>0</xdr:rowOff>
    </xdr:from>
    <xdr:to>
      <xdr:col>3</xdr:col>
      <xdr:colOff>483327</xdr:colOff>
      <xdr:row>31</xdr:row>
      <xdr:rowOff>47752</xdr:rowOff>
    </xdr:to>
    <xdr:sp macro="[0]!btnLevel.btnLevel" textlink="">
      <xdr:nvSpPr>
        <xdr:cNvPr id="155" name="btnLevelS5B1">
          <a:extLst>
            <a:ext uri="{FF2B5EF4-FFF2-40B4-BE49-F238E27FC236}">
              <a16:creationId xmlns:a16="http://schemas.microsoft.com/office/drawing/2014/main" id="{00000000-0008-0000-1200-00009B000000}"/>
            </a:ext>
          </a:extLst>
        </xdr:cNvPr>
        <xdr:cNvSpPr/>
      </xdr:nvSpPr>
      <xdr:spPr>
        <a:xfrm>
          <a:off x="3407375" y="9829800"/>
          <a:ext cx="301752" cy="301752"/>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30</xdr:row>
      <xdr:rowOff>0</xdr:rowOff>
    </xdr:from>
    <xdr:to>
      <xdr:col>3</xdr:col>
      <xdr:colOff>950652</xdr:colOff>
      <xdr:row>31</xdr:row>
      <xdr:rowOff>47752</xdr:rowOff>
    </xdr:to>
    <xdr:sp macro="[0]!btnLevel.btnLevel" textlink="">
      <xdr:nvSpPr>
        <xdr:cNvPr id="156" name="btnLevelS5B2">
          <a:extLst>
            <a:ext uri="{FF2B5EF4-FFF2-40B4-BE49-F238E27FC236}">
              <a16:creationId xmlns:a16="http://schemas.microsoft.com/office/drawing/2014/main" id="{00000000-0008-0000-1200-00009C000000}"/>
            </a:ext>
          </a:extLst>
        </xdr:cNvPr>
        <xdr:cNvSpPr/>
      </xdr:nvSpPr>
      <xdr:spPr>
        <a:xfrm>
          <a:off x="3874700" y="9829800"/>
          <a:ext cx="301752" cy="301752"/>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30</xdr:row>
      <xdr:rowOff>0</xdr:rowOff>
    </xdr:from>
    <xdr:to>
      <xdr:col>3</xdr:col>
      <xdr:colOff>1417977</xdr:colOff>
      <xdr:row>31</xdr:row>
      <xdr:rowOff>47752</xdr:rowOff>
    </xdr:to>
    <xdr:sp macro="[0]!btnLevel.btnLevel" textlink="">
      <xdr:nvSpPr>
        <xdr:cNvPr id="157" name="btnLevelS5B3">
          <a:extLst>
            <a:ext uri="{FF2B5EF4-FFF2-40B4-BE49-F238E27FC236}">
              <a16:creationId xmlns:a16="http://schemas.microsoft.com/office/drawing/2014/main" id="{00000000-0008-0000-1200-00009D000000}"/>
            </a:ext>
          </a:extLst>
        </xdr:cNvPr>
        <xdr:cNvSpPr/>
      </xdr:nvSpPr>
      <xdr:spPr>
        <a:xfrm>
          <a:off x="4342025" y="9829800"/>
          <a:ext cx="301752" cy="301752"/>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30</xdr:row>
      <xdr:rowOff>0</xdr:rowOff>
    </xdr:from>
    <xdr:to>
      <xdr:col>3</xdr:col>
      <xdr:colOff>1885302</xdr:colOff>
      <xdr:row>31</xdr:row>
      <xdr:rowOff>47752</xdr:rowOff>
    </xdr:to>
    <xdr:sp macro="[0]!btnLevel.btnLevel" textlink="">
      <xdr:nvSpPr>
        <xdr:cNvPr id="158" name="btnLevelS5B4">
          <a:extLst>
            <a:ext uri="{FF2B5EF4-FFF2-40B4-BE49-F238E27FC236}">
              <a16:creationId xmlns:a16="http://schemas.microsoft.com/office/drawing/2014/main" id="{00000000-0008-0000-1200-00009E000000}"/>
            </a:ext>
          </a:extLst>
        </xdr:cNvPr>
        <xdr:cNvSpPr/>
      </xdr:nvSpPr>
      <xdr:spPr>
        <a:xfrm>
          <a:off x="4809350" y="9829800"/>
          <a:ext cx="301752" cy="301752"/>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30</xdr:row>
      <xdr:rowOff>0</xdr:rowOff>
    </xdr:from>
    <xdr:to>
      <xdr:col>4</xdr:col>
      <xdr:colOff>282527</xdr:colOff>
      <xdr:row>31</xdr:row>
      <xdr:rowOff>47752</xdr:rowOff>
    </xdr:to>
    <xdr:sp macro="[0]!btnLevel.btnLevel" textlink="">
      <xdr:nvSpPr>
        <xdr:cNvPr id="159" name="btnLevelS5B5">
          <a:extLst>
            <a:ext uri="{FF2B5EF4-FFF2-40B4-BE49-F238E27FC236}">
              <a16:creationId xmlns:a16="http://schemas.microsoft.com/office/drawing/2014/main" id="{00000000-0008-0000-1200-00009F000000}"/>
            </a:ext>
          </a:extLst>
        </xdr:cNvPr>
        <xdr:cNvSpPr/>
      </xdr:nvSpPr>
      <xdr:spPr>
        <a:xfrm>
          <a:off x="5276675" y="9829800"/>
          <a:ext cx="301752" cy="301752"/>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23</xdr:row>
      <xdr:rowOff>0</xdr:rowOff>
    </xdr:from>
    <xdr:to>
      <xdr:col>3</xdr:col>
      <xdr:colOff>6858</xdr:colOff>
      <xdr:row>23</xdr:row>
      <xdr:rowOff>292608</xdr:rowOff>
    </xdr:to>
    <xdr:sp macro="[0]!btnLevel.btnLevel" textlink="">
      <xdr:nvSpPr>
        <xdr:cNvPr id="160" name="btnLevelS6B0">
          <a:extLst>
            <a:ext uri="{FF2B5EF4-FFF2-40B4-BE49-F238E27FC236}">
              <a16:creationId xmlns:a16="http://schemas.microsoft.com/office/drawing/2014/main" id="{00000000-0008-0000-1200-0000A0000000}"/>
            </a:ext>
          </a:extLst>
        </xdr:cNvPr>
        <xdr:cNvSpPr/>
      </xdr:nvSpPr>
      <xdr:spPr>
        <a:xfrm>
          <a:off x="2933700" y="6819900"/>
          <a:ext cx="29260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23</xdr:row>
      <xdr:rowOff>0</xdr:rowOff>
    </xdr:from>
    <xdr:to>
      <xdr:col>3</xdr:col>
      <xdr:colOff>474183</xdr:colOff>
      <xdr:row>23</xdr:row>
      <xdr:rowOff>292608</xdr:rowOff>
    </xdr:to>
    <xdr:sp macro="[0]!btnLevel.btnLevel" textlink="">
      <xdr:nvSpPr>
        <xdr:cNvPr id="161" name="btnLevelS6B1">
          <a:extLst>
            <a:ext uri="{FF2B5EF4-FFF2-40B4-BE49-F238E27FC236}">
              <a16:creationId xmlns:a16="http://schemas.microsoft.com/office/drawing/2014/main" id="{00000000-0008-0000-1200-0000A1000000}"/>
            </a:ext>
          </a:extLst>
        </xdr:cNvPr>
        <xdr:cNvSpPr/>
      </xdr:nvSpPr>
      <xdr:spPr>
        <a:xfrm>
          <a:off x="3401025" y="68199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23</xdr:row>
      <xdr:rowOff>0</xdr:rowOff>
    </xdr:from>
    <xdr:to>
      <xdr:col>3</xdr:col>
      <xdr:colOff>941508</xdr:colOff>
      <xdr:row>23</xdr:row>
      <xdr:rowOff>292608</xdr:rowOff>
    </xdr:to>
    <xdr:sp macro="[0]!btnLevel.btnLevel" textlink="">
      <xdr:nvSpPr>
        <xdr:cNvPr id="162" name="btnLevelS6B2">
          <a:extLst>
            <a:ext uri="{FF2B5EF4-FFF2-40B4-BE49-F238E27FC236}">
              <a16:creationId xmlns:a16="http://schemas.microsoft.com/office/drawing/2014/main" id="{00000000-0008-0000-1200-0000A2000000}"/>
            </a:ext>
          </a:extLst>
        </xdr:cNvPr>
        <xdr:cNvSpPr/>
      </xdr:nvSpPr>
      <xdr:spPr>
        <a:xfrm>
          <a:off x="3868350" y="68199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23</xdr:row>
      <xdr:rowOff>0</xdr:rowOff>
    </xdr:from>
    <xdr:to>
      <xdr:col>3</xdr:col>
      <xdr:colOff>1408833</xdr:colOff>
      <xdr:row>23</xdr:row>
      <xdr:rowOff>292608</xdr:rowOff>
    </xdr:to>
    <xdr:sp macro="[0]!btnLevel.btnLevel" textlink="">
      <xdr:nvSpPr>
        <xdr:cNvPr id="163" name="btnLevelS6B3">
          <a:extLst>
            <a:ext uri="{FF2B5EF4-FFF2-40B4-BE49-F238E27FC236}">
              <a16:creationId xmlns:a16="http://schemas.microsoft.com/office/drawing/2014/main" id="{00000000-0008-0000-1200-0000A3000000}"/>
            </a:ext>
          </a:extLst>
        </xdr:cNvPr>
        <xdr:cNvSpPr/>
      </xdr:nvSpPr>
      <xdr:spPr>
        <a:xfrm>
          <a:off x="4335675" y="68199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23</xdr:row>
      <xdr:rowOff>0</xdr:rowOff>
    </xdr:from>
    <xdr:to>
      <xdr:col>3</xdr:col>
      <xdr:colOff>1876158</xdr:colOff>
      <xdr:row>23</xdr:row>
      <xdr:rowOff>292608</xdr:rowOff>
    </xdr:to>
    <xdr:sp macro="[0]!btnLevel.btnLevel" textlink="">
      <xdr:nvSpPr>
        <xdr:cNvPr id="164" name="btnLevelS6B4">
          <a:extLst>
            <a:ext uri="{FF2B5EF4-FFF2-40B4-BE49-F238E27FC236}">
              <a16:creationId xmlns:a16="http://schemas.microsoft.com/office/drawing/2014/main" id="{00000000-0008-0000-1200-0000A4000000}"/>
            </a:ext>
          </a:extLst>
        </xdr:cNvPr>
        <xdr:cNvSpPr/>
      </xdr:nvSpPr>
      <xdr:spPr>
        <a:xfrm>
          <a:off x="4803000" y="68199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23</xdr:row>
      <xdr:rowOff>0</xdr:rowOff>
    </xdr:from>
    <xdr:to>
      <xdr:col>4</xdr:col>
      <xdr:colOff>267033</xdr:colOff>
      <xdr:row>23</xdr:row>
      <xdr:rowOff>292608</xdr:rowOff>
    </xdr:to>
    <xdr:sp macro="[0]!btnLevel.btnLevel" textlink="">
      <xdr:nvSpPr>
        <xdr:cNvPr id="165" name="btnLevelS6B5">
          <a:extLst>
            <a:ext uri="{FF2B5EF4-FFF2-40B4-BE49-F238E27FC236}">
              <a16:creationId xmlns:a16="http://schemas.microsoft.com/office/drawing/2014/main" id="{00000000-0008-0000-1200-0000A5000000}"/>
            </a:ext>
          </a:extLst>
        </xdr:cNvPr>
        <xdr:cNvSpPr/>
      </xdr:nvSpPr>
      <xdr:spPr>
        <a:xfrm>
          <a:off x="5270325" y="68199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41</xdr:row>
      <xdr:rowOff>0</xdr:rowOff>
    </xdr:from>
    <xdr:to>
      <xdr:col>3</xdr:col>
      <xdr:colOff>6858</xdr:colOff>
      <xdr:row>41</xdr:row>
      <xdr:rowOff>292608</xdr:rowOff>
    </xdr:to>
    <xdr:sp macro="[0]!btnLevel.btnLevel" textlink="">
      <xdr:nvSpPr>
        <xdr:cNvPr id="178" name="btnLevelS8B0">
          <a:extLst>
            <a:ext uri="{FF2B5EF4-FFF2-40B4-BE49-F238E27FC236}">
              <a16:creationId xmlns:a16="http://schemas.microsoft.com/office/drawing/2014/main" id="{00000000-0008-0000-1200-0000B2000000}"/>
            </a:ext>
          </a:extLst>
        </xdr:cNvPr>
        <xdr:cNvSpPr/>
      </xdr:nvSpPr>
      <xdr:spPr>
        <a:xfrm>
          <a:off x="2941320" y="10972800"/>
          <a:ext cx="29641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41</xdr:row>
      <xdr:rowOff>0</xdr:rowOff>
    </xdr:from>
    <xdr:to>
      <xdr:col>3</xdr:col>
      <xdr:colOff>474183</xdr:colOff>
      <xdr:row>41</xdr:row>
      <xdr:rowOff>292608</xdr:rowOff>
    </xdr:to>
    <xdr:sp macro="[0]!btnLevel.btnLevel" textlink="">
      <xdr:nvSpPr>
        <xdr:cNvPr id="179" name="btnLevelS8B1">
          <a:extLst>
            <a:ext uri="{FF2B5EF4-FFF2-40B4-BE49-F238E27FC236}">
              <a16:creationId xmlns:a16="http://schemas.microsoft.com/office/drawing/2014/main" id="{00000000-0008-0000-1200-0000B3000000}"/>
            </a:ext>
          </a:extLst>
        </xdr:cNvPr>
        <xdr:cNvSpPr/>
      </xdr:nvSpPr>
      <xdr:spPr>
        <a:xfrm>
          <a:off x="3412455"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41</xdr:row>
      <xdr:rowOff>0</xdr:rowOff>
    </xdr:from>
    <xdr:to>
      <xdr:col>3</xdr:col>
      <xdr:colOff>941508</xdr:colOff>
      <xdr:row>41</xdr:row>
      <xdr:rowOff>292608</xdr:rowOff>
    </xdr:to>
    <xdr:sp macro="[0]!btnLevel.btnLevel" textlink="">
      <xdr:nvSpPr>
        <xdr:cNvPr id="180" name="btnLevelS8B2">
          <a:extLst>
            <a:ext uri="{FF2B5EF4-FFF2-40B4-BE49-F238E27FC236}">
              <a16:creationId xmlns:a16="http://schemas.microsoft.com/office/drawing/2014/main" id="{00000000-0008-0000-1200-0000B4000000}"/>
            </a:ext>
          </a:extLst>
        </xdr:cNvPr>
        <xdr:cNvSpPr/>
      </xdr:nvSpPr>
      <xdr:spPr>
        <a:xfrm>
          <a:off x="3879780"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41</xdr:row>
      <xdr:rowOff>0</xdr:rowOff>
    </xdr:from>
    <xdr:to>
      <xdr:col>3</xdr:col>
      <xdr:colOff>1408833</xdr:colOff>
      <xdr:row>41</xdr:row>
      <xdr:rowOff>292608</xdr:rowOff>
    </xdr:to>
    <xdr:sp macro="[0]!btnLevel.btnLevel" textlink="">
      <xdr:nvSpPr>
        <xdr:cNvPr id="181" name="btnLevelS8B3">
          <a:extLst>
            <a:ext uri="{FF2B5EF4-FFF2-40B4-BE49-F238E27FC236}">
              <a16:creationId xmlns:a16="http://schemas.microsoft.com/office/drawing/2014/main" id="{00000000-0008-0000-1200-0000B5000000}"/>
            </a:ext>
          </a:extLst>
        </xdr:cNvPr>
        <xdr:cNvSpPr/>
      </xdr:nvSpPr>
      <xdr:spPr>
        <a:xfrm>
          <a:off x="4347105"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41</xdr:row>
      <xdr:rowOff>0</xdr:rowOff>
    </xdr:from>
    <xdr:to>
      <xdr:col>3</xdr:col>
      <xdr:colOff>1876158</xdr:colOff>
      <xdr:row>41</xdr:row>
      <xdr:rowOff>292608</xdr:rowOff>
    </xdr:to>
    <xdr:sp macro="[0]!btnLevel.btnLevel" textlink="">
      <xdr:nvSpPr>
        <xdr:cNvPr id="182" name="btnLevelS8B4">
          <a:extLst>
            <a:ext uri="{FF2B5EF4-FFF2-40B4-BE49-F238E27FC236}">
              <a16:creationId xmlns:a16="http://schemas.microsoft.com/office/drawing/2014/main" id="{00000000-0008-0000-1200-0000B6000000}"/>
            </a:ext>
          </a:extLst>
        </xdr:cNvPr>
        <xdr:cNvSpPr/>
      </xdr:nvSpPr>
      <xdr:spPr>
        <a:xfrm>
          <a:off x="4814430"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41</xdr:row>
      <xdr:rowOff>0</xdr:rowOff>
    </xdr:from>
    <xdr:to>
      <xdr:col>4</xdr:col>
      <xdr:colOff>267033</xdr:colOff>
      <xdr:row>41</xdr:row>
      <xdr:rowOff>292608</xdr:rowOff>
    </xdr:to>
    <xdr:sp macro="[0]!btnLevel.btnLevel" textlink="">
      <xdr:nvSpPr>
        <xdr:cNvPr id="183" name="btnLevelS8B5">
          <a:extLst>
            <a:ext uri="{FF2B5EF4-FFF2-40B4-BE49-F238E27FC236}">
              <a16:creationId xmlns:a16="http://schemas.microsoft.com/office/drawing/2014/main" id="{00000000-0008-0000-1200-0000B7000000}"/>
            </a:ext>
          </a:extLst>
        </xdr:cNvPr>
        <xdr:cNvSpPr/>
      </xdr:nvSpPr>
      <xdr:spPr>
        <a:xfrm>
          <a:off x="5281755" y="10972800"/>
          <a:ext cx="28879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48</xdr:row>
      <xdr:rowOff>0</xdr:rowOff>
    </xdr:from>
    <xdr:to>
      <xdr:col>3</xdr:col>
      <xdr:colOff>6858</xdr:colOff>
      <xdr:row>48</xdr:row>
      <xdr:rowOff>292608</xdr:rowOff>
    </xdr:to>
    <xdr:sp macro="[0]!btnLevel.btnLevel" textlink="">
      <xdr:nvSpPr>
        <xdr:cNvPr id="190" name="btnLevelS9B0">
          <a:extLst>
            <a:ext uri="{FF2B5EF4-FFF2-40B4-BE49-F238E27FC236}">
              <a16:creationId xmlns:a16="http://schemas.microsoft.com/office/drawing/2014/main" id="{00000000-0008-0000-1200-0000BE000000}"/>
            </a:ext>
          </a:extLst>
        </xdr:cNvPr>
        <xdr:cNvSpPr/>
      </xdr:nvSpPr>
      <xdr:spPr>
        <a:xfrm>
          <a:off x="2941320" y="10972800"/>
          <a:ext cx="29641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48</xdr:row>
      <xdr:rowOff>0</xdr:rowOff>
    </xdr:from>
    <xdr:to>
      <xdr:col>3</xdr:col>
      <xdr:colOff>474183</xdr:colOff>
      <xdr:row>48</xdr:row>
      <xdr:rowOff>292608</xdr:rowOff>
    </xdr:to>
    <xdr:sp macro="[0]!btnLevel.btnLevel" textlink="">
      <xdr:nvSpPr>
        <xdr:cNvPr id="191" name="btnLevelS9B1">
          <a:extLst>
            <a:ext uri="{FF2B5EF4-FFF2-40B4-BE49-F238E27FC236}">
              <a16:creationId xmlns:a16="http://schemas.microsoft.com/office/drawing/2014/main" id="{00000000-0008-0000-1200-0000BF000000}"/>
            </a:ext>
          </a:extLst>
        </xdr:cNvPr>
        <xdr:cNvSpPr/>
      </xdr:nvSpPr>
      <xdr:spPr>
        <a:xfrm>
          <a:off x="3412455"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48</xdr:row>
      <xdr:rowOff>0</xdr:rowOff>
    </xdr:from>
    <xdr:to>
      <xdr:col>3</xdr:col>
      <xdr:colOff>941508</xdr:colOff>
      <xdr:row>48</xdr:row>
      <xdr:rowOff>292608</xdr:rowOff>
    </xdr:to>
    <xdr:sp macro="[0]!btnLevel.btnLevel" textlink="">
      <xdr:nvSpPr>
        <xdr:cNvPr id="192" name="btnLevelS9B2">
          <a:extLst>
            <a:ext uri="{FF2B5EF4-FFF2-40B4-BE49-F238E27FC236}">
              <a16:creationId xmlns:a16="http://schemas.microsoft.com/office/drawing/2014/main" id="{00000000-0008-0000-1200-0000C0000000}"/>
            </a:ext>
          </a:extLst>
        </xdr:cNvPr>
        <xdr:cNvSpPr/>
      </xdr:nvSpPr>
      <xdr:spPr>
        <a:xfrm>
          <a:off x="3879780"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48</xdr:row>
      <xdr:rowOff>0</xdr:rowOff>
    </xdr:from>
    <xdr:to>
      <xdr:col>3</xdr:col>
      <xdr:colOff>1408833</xdr:colOff>
      <xdr:row>48</xdr:row>
      <xdr:rowOff>292608</xdr:rowOff>
    </xdr:to>
    <xdr:sp macro="[0]!btnLevel.btnLevel" textlink="">
      <xdr:nvSpPr>
        <xdr:cNvPr id="193" name="btnLevelS9B3">
          <a:extLst>
            <a:ext uri="{FF2B5EF4-FFF2-40B4-BE49-F238E27FC236}">
              <a16:creationId xmlns:a16="http://schemas.microsoft.com/office/drawing/2014/main" id="{00000000-0008-0000-1200-0000C1000000}"/>
            </a:ext>
          </a:extLst>
        </xdr:cNvPr>
        <xdr:cNvSpPr/>
      </xdr:nvSpPr>
      <xdr:spPr>
        <a:xfrm>
          <a:off x="4347105"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48</xdr:row>
      <xdr:rowOff>0</xdr:rowOff>
    </xdr:from>
    <xdr:to>
      <xdr:col>3</xdr:col>
      <xdr:colOff>1876158</xdr:colOff>
      <xdr:row>48</xdr:row>
      <xdr:rowOff>292608</xdr:rowOff>
    </xdr:to>
    <xdr:sp macro="[0]!btnLevel.btnLevel" textlink="">
      <xdr:nvSpPr>
        <xdr:cNvPr id="194" name="btnLevelS9B4">
          <a:extLst>
            <a:ext uri="{FF2B5EF4-FFF2-40B4-BE49-F238E27FC236}">
              <a16:creationId xmlns:a16="http://schemas.microsoft.com/office/drawing/2014/main" id="{00000000-0008-0000-1200-0000C2000000}"/>
            </a:ext>
          </a:extLst>
        </xdr:cNvPr>
        <xdr:cNvSpPr/>
      </xdr:nvSpPr>
      <xdr:spPr>
        <a:xfrm>
          <a:off x="4814430" y="10972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48</xdr:row>
      <xdr:rowOff>0</xdr:rowOff>
    </xdr:from>
    <xdr:to>
      <xdr:col>4</xdr:col>
      <xdr:colOff>267033</xdr:colOff>
      <xdr:row>48</xdr:row>
      <xdr:rowOff>292608</xdr:rowOff>
    </xdr:to>
    <xdr:sp macro="[0]!btnLevel.btnLevel" textlink="">
      <xdr:nvSpPr>
        <xdr:cNvPr id="195" name="btnLevelS9B5">
          <a:extLst>
            <a:ext uri="{FF2B5EF4-FFF2-40B4-BE49-F238E27FC236}">
              <a16:creationId xmlns:a16="http://schemas.microsoft.com/office/drawing/2014/main" id="{00000000-0008-0000-1200-0000C3000000}"/>
            </a:ext>
          </a:extLst>
        </xdr:cNvPr>
        <xdr:cNvSpPr/>
      </xdr:nvSpPr>
      <xdr:spPr>
        <a:xfrm>
          <a:off x="5281755" y="10972800"/>
          <a:ext cx="28879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60</xdr:row>
      <xdr:rowOff>0</xdr:rowOff>
    </xdr:from>
    <xdr:to>
      <xdr:col>3</xdr:col>
      <xdr:colOff>508</xdr:colOff>
      <xdr:row>60</xdr:row>
      <xdr:rowOff>292608</xdr:rowOff>
    </xdr:to>
    <xdr:sp macro="[0]!btnLevel.btnLevel" textlink="">
      <xdr:nvSpPr>
        <xdr:cNvPr id="196" name="btnLevelS10B0">
          <a:extLst>
            <a:ext uri="{FF2B5EF4-FFF2-40B4-BE49-F238E27FC236}">
              <a16:creationId xmlns:a16="http://schemas.microsoft.com/office/drawing/2014/main" id="{00000000-0008-0000-1200-0000C4000000}"/>
            </a:ext>
          </a:extLst>
        </xdr:cNvPr>
        <xdr:cNvSpPr/>
      </xdr:nvSpPr>
      <xdr:spPr>
        <a:xfrm>
          <a:off x="2933700" y="4813300"/>
          <a:ext cx="29260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60</xdr:row>
      <xdr:rowOff>0</xdr:rowOff>
    </xdr:from>
    <xdr:to>
      <xdr:col>3</xdr:col>
      <xdr:colOff>474183</xdr:colOff>
      <xdr:row>60</xdr:row>
      <xdr:rowOff>292608</xdr:rowOff>
    </xdr:to>
    <xdr:sp macro="[0]!btnLevel.btnLevel" textlink="">
      <xdr:nvSpPr>
        <xdr:cNvPr id="197" name="btnLevelS10B1">
          <a:extLst>
            <a:ext uri="{FF2B5EF4-FFF2-40B4-BE49-F238E27FC236}">
              <a16:creationId xmlns:a16="http://schemas.microsoft.com/office/drawing/2014/main" id="{00000000-0008-0000-1200-0000C5000000}"/>
            </a:ext>
          </a:extLst>
        </xdr:cNvPr>
        <xdr:cNvSpPr/>
      </xdr:nvSpPr>
      <xdr:spPr>
        <a:xfrm>
          <a:off x="3407375" y="4813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60</xdr:row>
      <xdr:rowOff>0</xdr:rowOff>
    </xdr:from>
    <xdr:to>
      <xdr:col>3</xdr:col>
      <xdr:colOff>941508</xdr:colOff>
      <xdr:row>60</xdr:row>
      <xdr:rowOff>292608</xdr:rowOff>
    </xdr:to>
    <xdr:sp macro="[0]!btnLevel.btnLevel" textlink="">
      <xdr:nvSpPr>
        <xdr:cNvPr id="198" name="btnLevelS10B2">
          <a:extLst>
            <a:ext uri="{FF2B5EF4-FFF2-40B4-BE49-F238E27FC236}">
              <a16:creationId xmlns:a16="http://schemas.microsoft.com/office/drawing/2014/main" id="{00000000-0008-0000-1200-0000C6000000}"/>
            </a:ext>
          </a:extLst>
        </xdr:cNvPr>
        <xdr:cNvSpPr/>
      </xdr:nvSpPr>
      <xdr:spPr>
        <a:xfrm>
          <a:off x="3874700" y="4813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60</xdr:row>
      <xdr:rowOff>0</xdr:rowOff>
    </xdr:from>
    <xdr:to>
      <xdr:col>3</xdr:col>
      <xdr:colOff>1408833</xdr:colOff>
      <xdr:row>60</xdr:row>
      <xdr:rowOff>292608</xdr:rowOff>
    </xdr:to>
    <xdr:sp macro="[0]!btnLevel.btnLevel" textlink="">
      <xdr:nvSpPr>
        <xdr:cNvPr id="199" name="btnLevelS10B3">
          <a:extLst>
            <a:ext uri="{FF2B5EF4-FFF2-40B4-BE49-F238E27FC236}">
              <a16:creationId xmlns:a16="http://schemas.microsoft.com/office/drawing/2014/main" id="{00000000-0008-0000-1200-0000C7000000}"/>
            </a:ext>
          </a:extLst>
        </xdr:cNvPr>
        <xdr:cNvSpPr/>
      </xdr:nvSpPr>
      <xdr:spPr>
        <a:xfrm>
          <a:off x="4342025" y="4813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60</xdr:row>
      <xdr:rowOff>0</xdr:rowOff>
    </xdr:from>
    <xdr:to>
      <xdr:col>3</xdr:col>
      <xdr:colOff>1876158</xdr:colOff>
      <xdr:row>60</xdr:row>
      <xdr:rowOff>292608</xdr:rowOff>
    </xdr:to>
    <xdr:sp macro="[0]!btnLevel.btnLevel" textlink="">
      <xdr:nvSpPr>
        <xdr:cNvPr id="200" name="btnLevelS10B4">
          <a:extLst>
            <a:ext uri="{FF2B5EF4-FFF2-40B4-BE49-F238E27FC236}">
              <a16:creationId xmlns:a16="http://schemas.microsoft.com/office/drawing/2014/main" id="{00000000-0008-0000-1200-0000C8000000}"/>
            </a:ext>
          </a:extLst>
        </xdr:cNvPr>
        <xdr:cNvSpPr/>
      </xdr:nvSpPr>
      <xdr:spPr>
        <a:xfrm>
          <a:off x="4809350" y="4813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60</xdr:row>
      <xdr:rowOff>0</xdr:rowOff>
    </xdr:from>
    <xdr:to>
      <xdr:col>4</xdr:col>
      <xdr:colOff>273383</xdr:colOff>
      <xdr:row>60</xdr:row>
      <xdr:rowOff>292608</xdr:rowOff>
    </xdr:to>
    <xdr:sp macro="[0]!btnLevel.btnLevel" textlink="">
      <xdr:nvSpPr>
        <xdr:cNvPr id="201" name="btnLevelS10B5">
          <a:extLst>
            <a:ext uri="{FF2B5EF4-FFF2-40B4-BE49-F238E27FC236}">
              <a16:creationId xmlns:a16="http://schemas.microsoft.com/office/drawing/2014/main" id="{00000000-0008-0000-1200-0000C9000000}"/>
            </a:ext>
          </a:extLst>
        </xdr:cNvPr>
        <xdr:cNvSpPr/>
      </xdr:nvSpPr>
      <xdr:spPr>
        <a:xfrm>
          <a:off x="5276675" y="4813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66</xdr:row>
      <xdr:rowOff>0</xdr:rowOff>
    </xdr:from>
    <xdr:to>
      <xdr:col>3</xdr:col>
      <xdr:colOff>508</xdr:colOff>
      <xdr:row>66</xdr:row>
      <xdr:rowOff>292608</xdr:rowOff>
    </xdr:to>
    <xdr:sp macro="[0]!btnLevel.btnLevel" textlink="">
      <xdr:nvSpPr>
        <xdr:cNvPr id="202" name="btnLevelS11B0">
          <a:extLst>
            <a:ext uri="{FF2B5EF4-FFF2-40B4-BE49-F238E27FC236}">
              <a16:creationId xmlns:a16="http://schemas.microsoft.com/office/drawing/2014/main" id="{00000000-0008-0000-1200-0000CA000000}"/>
            </a:ext>
          </a:extLst>
        </xdr:cNvPr>
        <xdr:cNvSpPr/>
      </xdr:nvSpPr>
      <xdr:spPr>
        <a:xfrm>
          <a:off x="2933700" y="7442200"/>
          <a:ext cx="29260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66</xdr:row>
      <xdr:rowOff>0</xdr:rowOff>
    </xdr:from>
    <xdr:to>
      <xdr:col>3</xdr:col>
      <xdr:colOff>474183</xdr:colOff>
      <xdr:row>66</xdr:row>
      <xdr:rowOff>292608</xdr:rowOff>
    </xdr:to>
    <xdr:sp macro="[0]!btnLevel.btnLevel" textlink="">
      <xdr:nvSpPr>
        <xdr:cNvPr id="203" name="btnLevelS11B1">
          <a:extLst>
            <a:ext uri="{FF2B5EF4-FFF2-40B4-BE49-F238E27FC236}">
              <a16:creationId xmlns:a16="http://schemas.microsoft.com/office/drawing/2014/main" id="{00000000-0008-0000-1200-0000CB000000}"/>
            </a:ext>
          </a:extLst>
        </xdr:cNvPr>
        <xdr:cNvSpPr/>
      </xdr:nvSpPr>
      <xdr:spPr>
        <a:xfrm>
          <a:off x="3407375" y="74422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66</xdr:row>
      <xdr:rowOff>0</xdr:rowOff>
    </xdr:from>
    <xdr:to>
      <xdr:col>3</xdr:col>
      <xdr:colOff>941508</xdr:colOff>
      <xdr:row>66</xdr:row>
      <xdr:rowOff>292608</xdr:rowOff>
    </xdr:to>
    <xdr:sp macro="[0]!btnLevel.btnLevel" textlink="">
      <xdr:nvSpPr>
        <xdr:cNvPr id="204" name="btnLevelS11B2">
          <a:extLst>
            <a:ext uri="{FF2B5EF4-FFF2-40B4-BE49-F238E27FC236}">
              <a16:creationId xmlns:a16="http://schemas.microsoft.com/office/drawing/2014/main" id="{00000000-0008-0000-1200-0000CC000000}"/>
            </a:ext>
          </a:extLst>
        </xdr:cNvPr>
        <xdr:cNvSpPr/>
      </xdr:nvSpPr>
      <xdr:spPr>
        <a:xfrm>
          <a:off x="3874700" y="74422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66</xdr:row>
      <xdr:rowOff>0</xdr:rowOff>
    </xdr:from>
    <xdr:to>
      <xdr:col>3</xdr:col>
      <xdr:colOff>1408833</xdr:colOff>
      <xdr:row>66</xdr:row>
      <xdr:rowOff>292608</xdr:rowOff>
    </xdr:to>
    <xdr:sp macro="[0]!btnLevel.btnLevel" textlink="">
      <xdr:nvSpPr>
        <xdr:cNvPr id="215" name="btnLevelS11B3">
          <a:extLst>
            <a:ext uri="{FF2B5EF4-FFF2-40B4-BE49-F238E27FC236}">
              <a16:creationId xmlns:a16="http://schemas.microsoft.com/office/drawing/2014/main" id="{00000000-0008-0000-1200-0000D7000000}"/>
            </a:ext>
          </a:extLst>
        </xdr:cNvPr>
        <xdr:cNvSpPr/>
      </xdr:nvSpPr>
      <xdr:spPr>
        <a:xfrm>
          <a:off x="4342025" y="74422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66</xdr:row>
      <xdr:rowOff>0</xdr:rowOff>
    </xdr:from>
    <xdr:to>
      <xdr:col>3</xdr:col>
      <xdr:colOff>1876158</xdr:colOff>
      <xdr:row>66</xdr:row>
      <xdr:rowOff>292608</xdr:rowOff>
    </xdr:to>
    <xdr:sp macro="[0]!btnLevel.btnLevel" textlink="">
      <xdr:nvSpPr>
        <xdr:cNvPr id="216" name="btnLevelS11B4">
          <a:extLst>
            <a:ext uri="{FF2B5EF4-FFF2-40B4-BE49-F238E27FC236}">
              <a16:creationId xmlns:a16="http://schemas.microsoft.com/office/drawing/2014/main" id="{00000000-0008-0000-1200-0000D8000000}"/>
            </a:ext>
          </a:extLst>
        </xdr:cNvPr>
        <xdr:cNvSpPr/>
      </xdr:nvSpPr>
      <xdr:spPr>
        <a:xfrm>
          <a:off x="4809350" y="74422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66</xdr:row>
      <xdr:rowOff>0</xdr:rowOff>
    </xdr:from>
    <xdr:to>
      <xdr:col>4</xdr:col>
      <xdr:colOff>273383</xdr:colOff>
      <xdr:row>66</xdr:row>
      <xdr:rowOff>292608</xdr:rowOff>
    </xdr:to>
    <xdr:sp macro="[0]!btnLevel.btnLevel" textlink="">
      <xdr:nvSpPr>
        <xdr:cNvPr id="217" name="btnLevelS11B5">
          <a:extLst>
            <a:ext uri="{FF2B5EF4-FFF2-40B4-BE49-F238E27FC236}">
              <a16:creationId xmlns:a16="http://schemas.microsoft.com/office/drawing/2014/main" id="{00000000-0008-0000-1200-0000D9000000}"/>
            </a:ext>
          </a:extLst>
        </xdr:cNvPr>
        <xdr:cNvSpPr/>
      </xdr:nvSpPr>
      <xdr:spPr>
        <a:xfrm>
          <a:off x="5276675" y="74422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79</xdr:row>
      <xdr:rowOff>0</xdr:rowOff>
    </xdr:from>
    <xdr:to>
      <xdr:col>3</xdr:col>
      <xdr:colOff>6858</xdr:colOff>
      <xdr:row>79</xdr:row>
      <xdr:rowOff>292608</xdr:rowOff>
    </xdr:to>
    <xdr:sp macro="[0]!btnLevel.btnLevel" textlink="">
      <xdr:nvSpPr>
        <xdr:cNvPr id="224" name="btnLevelS13B0">
          <a:extLst>
            <a:ext uri="{FF2B5EF4-FFF2-40B4-BE49-F238E27FC236}">
              <a16:creationId xmlns:a16="http://schemas.microsoft.com/office/drawing/2014/main" id="{00000000-0008-0000-1200-0000E0000000}"/>
            </a:ext>
          </a:extLst>
        </xdr:cNvPr>
        <xdr:cNvSpPr/>
      </xdr:nvSpPr>
      <xdr:spPr>
        <a:xfrm>
          <a:off x="2941320" y="22616160"/>
          <a:ext cx="29641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79</xdr:row>
      <xdr:rowOff>0</xdr:rowOff>
    </xdr:from>
    <xdr:to>
      <xdr:col>3</xdr:col>
      <xdr:colOff>474183</xdr:colOff>
      <xdr:row>79</xdr:row>
      <xdr:rowOff>292608</xdr:rowOff>
    </xdr:to>
    <xdr:sp macro="[0]!btnLevel.btnLevel" textlink="">
      <xdr:nvSpPr>
        <xdr:cNvPr id="225" name="btnLevelS13B1">
          <a:extLst>
            <a:ext uri="{FF2B5EF4-FFF2-40B4-BE49-F238E27FC236}">
              <a16:creationId xmlns:a16="http://schemas.microsoft.com/office/drawing/2014/main" id="{00000000-0008-0000-1200-0000E1000000}"/>
            </a:ext>
          </a:extLst>
        </xdr:cNvPr>
        <xdr:cNvSpPr/>
      </xdr:nvSpPr>
      <xdr:spPr>
        <a:xfrm>
          <a:off x="3412455"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79</xdr:row>
      <xdr:rowOff>0</xdr:rowOff>
    </xdr:from>
    <xdr:to>
      <xdr:col>3</xdr:col>
      <xdr:colOff>941508</xdr:colOff>
      <xdr:row>79</xdr:row>
      <xdr:rowOff>292608</xdr:rowOff>
    </xdr:to>
    <xdr:sp macro="[0]!btnLevel.btnLevel" textlink="">
      <xdr:nvSpPr>
        <xdr:cNvPr id="226" name="btnLevelS13B2">
          <a:extLst>
            <a:ext uri="{FF2B5EF4-FFF2-40B4-BE49-F238E27FC236}">
              <a16:creationId xmlns:a16="http://schemas.microsoft.com/office/drawing/2014/main" id="{00000000-0008-0000-1200-0000E2000000}"/>
            </a:ext>
          </a:extLst>
        </xdr:cNvPr>
        <xdr:cNvSpPr/>
      </xdr:nvSpPr>
      <xdr:spPr>
        <a:xfrm>
          <a:off x="3879780"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79</xdr:row>
      <xdr:rowOff>0</xdr:rowOff>
    </xdr:from>
    <xdr:to>
      <xdr:col>3</xdr:col>
      <xdr:colOff>1408833</xdr:colOff>
      <xdr:row>79</xdr:row>
      <xdr:rowOff>292608</xdr:rowOff>
    </xdr:to>
    <xdr:sp macro="[0]!btnLevel.btnLevel" textlink="">
      <xdr:nvSpPr>
        <xdr:cNvPr id="227" name="btnLevelS13B3">
          <a:extLst>
            <a:ext uri="{FF2B5EF4-FFF2-40B4-BE49-F238E27FC236}">
              <a16:creationId xmlns:a16="http://schemas.microsoft.com/office/drawing/2014/main" id="{00000000-0008-0000-1200-0000E3000000}"/>
            </a:ext>
          </a:extLst>
        </xdr:cNvPr>
        <xdr:cNvSpPr/>
      </xdr:nvSpPr>
      <xdr:spPr>
        <a:xfrm>
          <a:off x="4347105"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79</xdr:row>
      <xdr:rowOff>0</xdr:rowOff>
    </xdr:from>
    <xdr:to>
      <xdr:col>3</xdr:col>
      <xdr:colOff>1876158</xdr:colOff>
      <xdr:row>79</xdr:row>
      <xdr:rowOff>292608</xdr:rowOff>
    </xdr:to>
    <xdr:sp macro="[0]!btnLevel.btnLevel" textlink="">
      <xdr:nvSpPr>
        <xdr:cNvPr id="228" name="btnLevelS13B4">
          <a:extLst>
            <a:ext uri="{FF2B5EF4-FFF2-40B4-BE49-F238E27FC236}">
              <a16:creationId xmlns:a16="http://schemas.microsoft.com/office/drawing/2014/main" id="{00000000-0008-0000-1200-0000E4000000}"/>
            </a:ext>
          </a:extLst>
        </xdr:cNvPr>
        <xdr:cNvSpPr/>
      </xdr:nvSpPr>
      <xdr:spPr>
        <a:xfrm>
          <a:off x="4814430"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79</xdr:row>
      <xdr:rowOff>0</xdr:rowOff>
    </xdr:from>
    <xdr:to>
      <xdr:col>4</xdr:col>
      <xdr:colOff>267033</xdr:colOff>
      <xdr:row>79</xdr:row>
      <xdr:rowOff>292608</xdr:rowOff>
    </xdr:to>
    <xdr:sp macro="[0]!btnLevel.btnLevel" textlink="">
      <xdr:nvSpPr>
        <xdr:cNvPr id="229" name="btnLevelS13B5">
          <a:extLst>
            <a:ext uri="{FF2B5EF4-FFF2-40B4-BE49-F238E27FC236}">
              <a16:creationId xmlns:a16="http://schemas.microsoft.com/office/drawing/2014/main" id="{00000000-0008-0000-1200-0000E5000000}"/>
            </a:ext>
          </a:extLst>
        </xdr:cNvPr>
        <xdr:cNvSpPr/>
      </xdr:nvSpPr>
      <xdr:spPr>
        <a:xfrm>
          <a:off x="5281755" y="22616160"/>
          <a:ext cx="28879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2</xdr:col>
      <xdr:colOff>0</xdr:colOff>
      <xdr:row>85</xdr:row>
      <xdr:rowOff>0</xdr:rowOff>
    </xdr:from>
    <xdr:to>
      <xdr:col>3</xdr:col>
      <xdr:colOff>6858</xdr:colOff>
      <xdr:row>85</xdr:row>
      <xdr:rowOff>292608</xdr:rowOff>
    </xdr:to>
    <xdr:sp macro="[0]!btnLevel.btnLevel" textlink="">
      <xdr:nvSpPr>
        <xdr:cNvPr id="230" name="btnLevelS14B0">
          <a:extLst>
            <a:ext uri="{FF2B5EF4-FFF2-40B4-BE49-F238E27FC236}">
              <a16:creationId xmlns:a16="http://schemas.microsoft.com/office/drawing/2014/main" id="{00000000-0008-0000-1200-0000E6000000}"/>
            </a:ext>
          </a:extLst>
        </xdr:cNvPr>
        <xdr:cNvSpPr/>
      </xdr:nvSpPr>
      <xdr:spPr>
        <a:xfrm>
          <a:off x="2941320" y="22616160"/>
          <a:ext cx="296418" cy="292608"/>
        </a:xfrm>
        <a:prstGeom prst="ellipse">
          <a:avLst/>
        </a:prstGeom>
        <a:solidFill>
          <a:srgbClr val="008272"/>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181575</xdr:colOff>
      <xdr:row>85</xdr:row>
      <xdr:rowOff>0</xdr:rowOff>
    </xdr:from>
    <xdr:to>
      <xdr:col>3</xdr:col>
      <xdr:colOff>474183</xdr:colOff>
      <xdr:row>85</xdr:row>
      <xdr:rowOff>292608</xdr:rowOff>
    </xdr:to>
    <xdr:sp macro="[0]!btnLevel.btnLevel" textlink="">
      <xdr:nvSpPr>
        <xdr:cNvPr id="231" name="btnLevelS14B1">
          <a:extLst>
            <a:ext uri="{FF2B5EF4-FFF2-40B4-BE49-F238E27FC236}">
              <a16:creationId xmlns:a16="http://schemas.microsoft.com/office/drawing/2014/main" id="{00000000-0008-0000-1200-0000E7000000}"/>
            </a:ext>
          </a:extLst>
        </xdr:cNvPr>
        <xdr:cNvSpPr/>
      </xdr:nvSpPr>
      <xdr:spPr>
        <a:xfrm>
          <a:off x="3412455"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648900</xdr:colOff>
      <xdr:row>85</xdr:row>
      <xdr:rowOff>0</xdr:rowOff>
    </xdr:from>
    <xdr:to>
      <xdr:col>3</xdr:col>
      <xdr:colOff>941508</xdr:colOff>
      <xdr:row>85</xdr:row>
      <xdr:rowOff>292608</xdr:rowOff>
    </xdr:to>
    <xdr:sp macro="[0]!btnLevel.btnLevel" textlink="">
      <xdr:nvSpPr>
        <xdr:cNvPr id="232" name="btnLevelS14B2">
          <a:extLst>
            <a:ext uri="{FF2B5EF4-FFF2-40B4-BE49-F238E27FC236}">
              <a16:creationId xmlns:a16="http://schemas.microsoft.com/office/drawing/2014/main" id="{00000000-0008-0000-1200-0000E8000000}"/>
            </a:ext>
          </a:extLst>
        </xdr:cNvPr>
        <xdr:cNvSpPr/>
      </xdr:nvSpPr>
      <xdr:spPr>
        <a:xfrm>
          <a:off x="3879780"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1116225</xdr:colOff>
      <xdr:row>85</xdr:row>
      <xdr:rowOff>0</xdr:rowOff>
    </xdr:from>
    <xdr:to>
      <xdr:col>3</xdr:col>
      <xdr:colOff>1408833</xdr:colOff>
      <xdr:row>85</xdr:row>
      <xdr:rowOff>292608</xdr:rowOff>
    </xdr:to>
    <xdr:sp macro="[0]!btnLevel.btnLevel" textlink="">
      <xdr:nvSpPr>
        <xdr:cNvPr id="233" name="btnLevelS14B3">
          <a:extLst>
            <a:ext uri="{FF2B5EF4-FFF2-40B4-BE49-F238E27FC236}">
              <a16:creationId xmlns:a16="http://schemas.microsoft.com/office/drawing/2014/main" id="{00000000-0008-0000-1200-0000E9000000}"/>
            </a:ext>
          </a:extLst>
        </xdr:cNvPr>
        <xdr:cNvSpPr/>
      </xdr:nvSpPr>
      <xdr:spPr>
        <a:xfrm>
          <a:off x="4347105"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1583550</xdr:colOff>
      <xdr:row>85</xdr:row>
      <xdr:rowOff>0</xdr:rowOff>
    </xdr:from>
    <xdr:to>
      <xdr:col>3</xdr:col>
      <xdr:colOff>1876158</xdr:colOff>
      <xdr:row>85</xdr:row>
      <xdr:rowOff>292608</xdr:rowOff>
    </xdr:to>
    <xdr:sp macro="[0]!btnLevel.btnLevel" textlink="">
      <xdr:nvSpPr>
        <xdr:cNvPr id="234" name="btnLevelS14B4">
          <a:extLst>
            <a:ext uri="{FF2B5EF4-FFF2-40B4-BE49-F238E27FC236}">
              <a16:creationId xmlns:a16="http://schemas.microsoft.com/office/drawing/2014/main" id="{00000000-0008-0000-1200-0000EA000000}"/>
            </a:ext>
          </a:extLst>
        </xdr:cNvPr>
        <xdr:cNvSpPr/>
      </xdr:nvSpPr>
      <xdr:spPr>
        <a:xfrm>
          <a:off x="4814430" y="226161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2050875</xdr:colOff>
      <xdr:row>85</xdr:row>
      <xdr:rowOff>0</xdr:rowOff>
    </xdr:from>
    <xdr:to>
      <xdr:col>4</xdr:col>
      <xdr:colOff>267033</xdr:colOff>
      <xdr:row>85</xdr:row>
      <xdr:rowOff>292608</xdr:rowOff>
    </xdr:to>
    <xdr:sp macro="[0]!btnLevel.btnLevel" textlink="">
      <xdr:nvSpPr>
        <xdr:cNvPr id="235" name="btnLevelS14B5">
          <a:extLst>
            <a:ext uri="{FF2B5EF4-FFF2-40B4-BE49-F238E27FC236}">
              <a16:creationId xmlns:a16="http://schemas.microsoft.com/office/drawing/2014/main" id="{00000000-0008-0000-1200-0000EB000000}"/>
            </a:ext>
          </a:extLst>
        </xdr:cNvPr>
        <xdr:cNvSpPr/>
      </xdr:nvSpPr>
      <xdr:spPr>
        <a:xfrm>
          <a:off x="5281755" y="22616160"/>
          <a:ext cx="28879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4</xdr:col>
      <xdr:colOff>279400</xdr:colOff>
      <xdr:row>11</xdr:row>
      <xdr:rowOff>120250</xdr:rowOff>
    </xdr:from>
    <xdr:to>
      <xdr:col>5</xdr:col>
      <xdr:colOff>2082800</xdr:colOff>
      <xdr:row>11</xdr:row>
      <xdr:rowOff>679449</xdr:rowOff>
    </xdr:to>
    <xdr:sp macro="[0]!NavButtons" textlink="">
      <xdr:nvSpPr>
        <xdr:cNvPr id="110" name="NavEG1">
          <a:extLst>
            <a:ext uri="{FF2B5EF4-FFF2-40B4-BE49-F238E27FC236}">
              <a16:creationId xmlns:a16="http://schemas.microsoft.com/office/drawing/2014/main" id="{00000000-0008-0000-1200-00006E000000}"/>
            </a:ext>
          </a:extLst>
        </xdr:cNvPr>
        <xdr:cNvSpPr/>
      </xdr:nvSpPr>
      <xdr:spPr bwMode="auto">
        <a:xfrm>
          <a:off x="5575300" y="2977750"/>
          <a:ext cx="2092960" cy="559199"/>
        </a:xfrm>
        <a:prstGeom prst="rect">
          <a:avLst/>
        </a:prstGeom>
        <a:solidFill>
          <a:srgbClr val="FFFFFF"/>
        </a:solidFill>
        <a:ln>
          <a:solidFill>
            <a:srgbClr val="008272"/>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008080" mc:Ignorable="a14" a14:legacySpreadsheetColorIndex="21"/>
              </a:solidFill>
              <a:latin typeface="+mj-lt"/>
              <a:ea typeface="Segoe UI" pitchFamily="34" charset="0"/>
              <a:cs typeface="Segoe UI" pitchFamily="34" charset="0"/>
            </a:rPr>
            <a:t>Platform</a:t>
          </a:r>
        </a:p>
      </xdr:txBody>
    </xdr:sp>
    <xdr:clientData/>
  </xdr:twoCellAnchor>
  <xdr:twoCellAnchor>
    <xdr:from>
      <xdr:col>7</xdr:col>
      <xdr:colOff>92103</xdr:colOff>
      <xdr:row>11</xdr:row>
      <xdr:rowOff>120250</xdr:rowOff>
    </xdr:from>
    <xdr:to>
      <xdr:col>7</xdr:col>
      <xdr:colOff>2195195</xdr:colOff>
      <xdr:row>11</xdr:row>
      <xdr:rowOff>679449</xdr:rowOff>
    </xdr:to>
    <xdr:sp macro="[0]!NavButtons" textlink="">
      <xdr:nvSpPr>
        <xdr:cNvPr id="111" name="NavEG2">
          <a:extLst>
            <a:ext uri="{FF2B5EF4-FFF2-40B4-BE49-F238E27FC236}">
              <a16:creationId xmlns:a16="http://schemas.microsoft.com/office/drawing/2014/main" id="{00000000-0008-0000-1200-00006F000000}"/>
            </a:ext>
          </a:extLst>
        </xdr:cNvPr>
        <xdr:cNvSpPr/>
      </xdr:nvSpPr>
      <xdr:spPr bwMode="auto">
        <a:xfrm>
          <a:off x="8184543" y="2977750"/>
          <a:ext cx="2103092" cy="559199"/>
        </a:xfrm>
        <a:prstGeom prst="rect">
          <a:avLst/>
        </a:prstGeom>
        <a:solidFill>
          <a:srgbClr val="008272"/>
        </a:solidFill>
        <a:ln>
          <a:solidFill>
            <a:srgbClr val="008272"/>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4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Productivity</a:t>
          </a:r>
          <a:r>
            <a:rPr lang="en-US" sz="14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&amp; Business</a:t>
          </a:r>
          <a:endParaRPr lang="en-US" sz="14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9</xdr:col>
      <xdr:colOff>204498</xdr:colOff>
      <xdr:row>11</xdr:row>
      <xdr:rowOff>120250</xdr:rowOff>
    </xdr:from>
    <xdr:to>
      <xdr:col>10</xdr:col>
      <xdr:colOff>85090</xdr:colOff>
      <xdr:row>11</xdr:row>
      <xdr:rowOff>679449</xdr:rowOff>
    </xdr:to>
    <xdr:sp macro="[0]!NavButtons" textlink="">
      <xdr:nvSpPr>
        <xdr:cNvPr id="112" name="NavEG3">
          <a:extLst>
            <a:ext uri="{FF2B5EF4-FFF2-40B4-BE49-F238E27FC236}">
              <a16:creationId xmlns:a16="http://schemas.microsoft.com/office/drawing/2014/main" id="{00000000-0008-0000-1200-000070000000}"/>
            </a:ext>
          </a:extLst>
        </xdr:cNvPr>
        <xdr:cNvSpPr/>
      </xdr:nvSpPr>
      <xdr:spPr bwMode="auto">
        <a:xfrm>
          <a:off x="10803918" y="2977750"/>
          <a:ext cx="2098012" cy="559199"/>
        </a:xfrm>
        <a:prstGeom prst="rect">
          <a:avLst/>
        </a:prstGeom>
        <a:solidFill>
          <a:srgbClr val="008272"/>
        </a:solidFill>
        <a:ln>
          <a:solidFill>
            <a:srgbClr val="008272"/>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Intelligent</a:t>
          </a:r>
          <a:r>
            <a:rPr lang="en-US" sz="16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Cloud</a:t>
          </a:r>
          <a:endPar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11</xdr:col>
      <xdr:colOff>234978</xdr:colOff>
      <xdr:row>11</xdr:row>
      <xdr:rowOff>120250</xdr:rowOff>
    </xdr:from>
    <xdr:to>
      <xdr:col>12</xdr:col>
      <xdr:colOff>115570</xdr:colOff>
      <xdr:row>11</xdr:row>
      <xdr:rowOff>679449</xdr:rowOff>
    </xdr:to>
    <xdr:sp macro="[0]!NavButtons" textlink="">
      <xdr:nvSpPr>
        <xdr:cNvPr id="116" name="NavEG4">
          <a:extLst>
            <a:ext uri="{FF2B5EF4-FFF2-40B4-BE49-F238E27FC236}">
              <a16:creationId xmlns:a16="http://schemas.microsoft.com/office/drawing/2014/main" id="{00000000-0008-0000-1200-000074000000}"/>
            </a:ext>
          </a:extLst>
        </xdr:cNvPr>
        <xdr:cNvSpPr/>
      </xdr:nvSpPr>
      <xdr:spPr bwMode="auto">
        <a:xfrm>
          <a:off x="13341378" y="2977750"/>
          <a:ext cx="2098012" cy="559199"/>
        </a:xfrm>
        <a:prstGeom prst="rect">
          <a:avLst/>
        </a:prstGeom>
        <a:solidFill>
          <a:srgbClr val="008272"/>
        </a:solidFill>
        <a:ln>
          <a:solidFill>
            <a:srgbClr val="008272"/>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Personal</a:t>
          </a:r>
          <a:r>
            <a:rPr lang="en-US" sz="16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Computing</a:t>
          </a:r>
          <a:endPar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14</xdr:col>
      <xdr:colOff>368300</xdr:colOff>
      <xdr:row>0</xdr:row>
      <xdr:rowOff>27940</xdr:rowOff>
    </xdr:from>
    <xdr:to>
      <xdr:col>14</xdr:col>
      <xdr:colOff>1671320</xdr:colOff>
      <xdr:row>0</xdr:row>
      <xdr:rowOff>447040</xdr:rowOff>
    </xdr:to>
    <xdr:sp macro="[0]!CommitEG" textlink="">
      <xdr:nvSpPr>
        <xdr:cNvPr id="117" name="Rectangle 116">
          <a:extLst>
            <a:ext uri="{FF2B5EF4-FFF2-40B4-BE49-F238E27FC236}">
              <a16:creationId xmlns:a16="http://schemas.microsoft.com/office/drawing/2014/main" id="{00000000-0008-0000-1200-000075000000}"/>
            </a:ext>
          </a:extLst>
        </xdr:cNvPr>
        <xdr:cNvSpPr/>
      </xdr:nvSpPr>
      <xdr:spPr bwMode="auto">
        <a:xfrm>
          <a:off x="18267680" y="27940"/>
          <a:ext cx="1303020" cy="419100"/>
        </a:xfrm>
        <a:prstGeom prst="rect">
          <a:avLst/>
        </a:prstGeom>
        <a:solidFill>
          <a:schemeClr val="bg2"/>
        </a:solidFill>
        <a:ln>
          <a:noFill/>
        </a:ln>
      </xdr:spPr>
      <xdr:style>
        <a:lnRef idx="0">
          <a:scrgbClr r="0" g="0" b="0"/>
        </a:lnRef>
        <a:fillRef idx="0">
          <a:scrgbClr r="0" g="0" b="0"/>
        </a:fillRef>
        <a:effectRef idx="0">
          <a:scrgbClr r="0" g="0" b="0"/>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gradFill>
                <a:gsLst>
                  <a:gs pos="0">
                    <a:srgbClr val="FFFFFF"/>
                  </a:gs>
                  <a:gs pos="100000">
                    <a:srgbClr val="FFFFFF"/>
                  </a:gs>
                </a:gsLst>
                <a:lin ang="5400000" scaled="0"/>
              </a:gradFill>
              <a:ea typeface="Segoe UI" pitchFamily="34" charset="0"/>
              <a:cs typeface="Segoe UI" pitchFamily="34" charset="0"/>
            </a:rPr>
            <a:t>Commit</a:t>
          </a:r>
        </a:p>
      </xdr:txBody>
    </xdr:sp>
    <xdr:clientData/>
  </xdr:twoCellAnchor>
  <xdr:twoCellAnchor>
    <xdr:from>
      <xdr:col>7</xdr:col>
      <xdr:colOff>323850</xdr:colOff>
      <xdr:row>14</xdr:row>
      <xdr:rowOff>266700</xdr:rowOff>
    </xdr:from>
    <xdr:to>
      <xdr:col>15</xdr:col>
      <xdr:colOff>279400</xdr:colOff>
      <xdr:row>34</xdr:row>
      <xdr:rowOff>190500</xdr:rowOff>
    </xdr:to>
    <xdr:graphicFrame macro="">
      <xdr:nvGraphicFramePr>
        <xdr:cNvPr id="82" name="Chart 81">
          <a:extLst>
            <a:ext uri="{FF2B5EF4-FFF2-40B4-BE49-F238E27FC236}">
              <a16:creationId xmlns:a16="http://schemas.microsoft.com/office/drawing/2014/main" id="{00000000-0008-0000-12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40</xdr:row>
      <xdr:rowOff>0</xdr:rowOff>
    </xdr:from>
    <xdr:to>
      <xdr:col>14</xdr:col>
      <xdr:colOff>241300</xdr:colOff>
      <xdr:row>53</xdr:row>
      <xdr:rowOff>137160</xdr:rowOff>
    </xdr:to>
    <xdr:graphicFrame macro="">
      <xdr:nvGraphicFramePr>
        <xdr:cNvPr id="83" name="Chart 82">
          <a:extLst>
            <a:ext uri="{FF2B5EF4-FFF2-40B4-BE49-F238E27FC236}">
              <a16:creationId xmlns:a16="http://schemas.microsoft.com/office/drawing/2014/main" id="{00000000-0008-0000-12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58</xdr:row>
      <xdr:rowOff>95250</xdr:rowOff>
    </xdr:from>
    <xdr:to>
      <xdr:col>14</xdr:col>
      <xdr:colOff>241300</xdr:colOff>
      <xdr:row>71</xdr:row>
      <xdr:rowOff>167640</xdr:rowOff>
    </xdr:to>
    <xdr:graphicFrame macro="">
      <xdr:nvGraphicFramePr>
        <xdr:cNvPr id="84" name="Chart 83">
          <a:extLst>
            <a:ext uri="{FF2B5EF4-FFF2-40B4-BE49-F238E27FC236}">
              <a16:creationId xmlns:a16="http://schemas.microsoft.com/office/drawing/2014/main" id="{00000000-0008-0000-12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266700</xdr:colOff>
      <xdr:row>77</xdr:row>
      <xdr:rowOff>190500</xdr:rowOff>
    </xdr:from>
    <xdr:to>
      <xdr:col>14</xdr:col>
      <xdr:colOff>222250</xdr:colOff>
      <xdr:row>92</xdr:row>
      <xdr:rowOff>133350</xdr:rowOff>
    </xdr:to>
    <xdr:graphicFrame macro="">
      <xdr:nvGraphicFramePr>
        <xdr:cNvPr id="85" name="Chart 84">
          <a:extLst>
            <a:ext uri="{FF2B5EF4-FFF2-40B4-BE49-F238E27FC236}">
              <a16:creationId xmlns:a16="http://schemas.microsoft.com/office/drawing/2014/main" id="{00000000-0008-0000-12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253997</xdr:colOff>
      <xdr:row>0</xdr:row>
      <xdr:rowOff>0</xdr:rowOff>
    </xdr:from>
    <xdr:to>
      <xdr:col>5</xdr:col>
      <xdr:colOff>990597</xdr:colOff>
      <xdr:row>0</xdr:row>
      <xdr:rowOff>449095</xdr:rowOff>
    </xdr:to>
    <xdr:grpSp>
      <xdr:nvGrpSpPr>
        <xdr:cNvPr id="86" name="Group 85">
          <a:extLst>
            <a:ext uri="{FF2B5EF4-FFF2-40B4-BE49-F238E27FC236}">
              <a16:creationId xmlns:a16="http://schemas.microsoft.com/office/drawing/2014/main" id="{00000000-0008-0000-1200-000056000000}"/>
            </a:ext>
          </a:extLst>
        </xdr:cNvPr>
        <xdr:cNvGrpSpPr/>
      </xdr:nvGrpSpPr>
      <xdr:grpSpPr>
        <a:xfrm>
          <a:off x="5530847" y="0"/>
          <a:ext cx="1098550" cy="449095"/>
          <a:chOff x="15557698" y="121920"/>
          <a:chExt cx="1359202" cy="527923"/>
        </a:xfrm>
      </xdr:grpSpPr>
      <xdr:pic macro="[0]!ToolSave">
        <xdr:nvPicPr>
          <xdr:cNvPr id="87" name="Picture 86" descr="Image result for usb icon">
            <a:extLst>
              <a:ext uri="{FF2B5EF4-FFF2-40B4-BE49-F238E27FC236}">
                <a16:creationId xmlns:a16="http://schemas.microsoft.com/office/drawing/2014/main" id="{00000000-0008-0000-1200-000057000000}"/>
              </a:ext>
            </a:extLst>
          </xdr:cNvPr>
          <xdr:cNvPicPr>
            <a:picLocks noChangeAspect="1" noChangeArrowheads="1"/>
          </xdr:cNvPicPr>
        </xdr:nvPicPr>
        <xdr:blipFill>
          <a:blip xmlns:r="http://schemas.openxmlformats.org/officeDocument/2006/relationships" r:embed="rId6" cstate="print">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5560040" y="121920"/>
            <a:ext cx="511053" cy="518160"/>
          </a:xfrm>
          <a:prstGeom prst="rect">
            <a:avLst/>
          </a:prstGeom>
          <a:noFill/>
          <a:extLst>
            <a:ext uri="{909E8E84-426E-40DD-AFC4-6F175D3DCCD1}">
              <a14:hiddenFill xmlns:a14="http://schemas.microsoft.com/office/drawing/2010/main">
                <a:solidFill>
                  <a:srgbClr val="FFFFFF"/>
                </a:solidFill>
              </a14:hiddenFill>
            </a:ext>
          </a:extLst>
        </xdr:spPr>
      </xdr:pic>
      <xdr:sp macro="[0]!ToolSave" textlink="">
        <xdr:nvSpPr>
          <xdr:cNvPr id="88" name="Rectangle 87">
            <a:extLst>
              <a:ext uri="{FF2B5EF4-FFF2-40B4-BE49-F238E27FC236}">
                <a16:creationId xmlns:a16="http://schemas.microsoft.com/office/drawing/2014/main" id="{00000000-0008-0000-1200-000058000000}"/>
              </a:ext>
            </a:extLst>
          </xdr:cNvPr>
          <xdr:cNvSpPr/>
        </xdr:nvSpPr>
        <xdr:spPr bwMode="auto">
          <a:xfrm>
            <a:off x="15557698" y="146923"/>
            <a:ext cx="1359202"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bg2"/>
                </a:solidFill>
                <a:ea typeface="Segoe UI" pitchFamily="34" charset="0"/>
                <a:cs typeface="Segoe UI" pitchFamily="34" charset="0"/>
              </a:rPr>
              <a:t>   Save</a:t>
            </a:r>
          </a:p>
        </xdr:txBody>
      </xdr:sp>
    </xdr:grpSp>
    <xdr:clientData/>
  </xdr:twoCellAnchor>
  <xdr:twoCellAnchor>
    <xdr:from>
      <xdr:col>13</xdr:col>
      <xdr:colOff>872490</xdr:colOff>
      <xdr:row>109</xdr:row>
      <xdr:rowOff>236220</xdr:rowOff>
    </xdr:from>
    <xdr:to>
      <xdr:col>22</xdr:col>
      <xdr:colOff>264160</xdr:colOff>
      <xdr:row>109</xdr:row>
      <xdr:rowOff>236220</xdr:rowOff>
    </xdr:to>
    <xdr:graphicFrame macro="">
      <xdr:nvGraphicFramePr>
        <xdr:cNvPr id="89" name="Chart 88">
          <a:extLst>
            <a:ext uri="{FF2B5EF4-FFF2-40B4-BE49-F238E27FC236}">
              <a16:creationId xmlns:a16="http://schemas.microsoft.com/office/drawing/2014/main" id="{00000000-0008-0000-12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50800</xdr:colOff>
      <xdr:row>16</xdr:row>
      <xdr:rowOff>63500</xdr:rowOff>
    </xdr:from>
    <xdr:to>
      <xdr:col>0</xdr:col>
      <xdr:colOff>254000</xdr:colOff>
      <xdr:row>16</xdr:row>
      <xdr:rowOff>266700</xdr:rowOff>
    </xdr:to>
    <xdr:sp macro="[0]!InfoButton_Click" textlink="">
      <xdr:nvSpPr>
        <xdr:cNvPr id="90" name="btnInfo1">
          <a:extLst>
            <a:ext uri="{FF2B5EF4-FFF2-40B4-BE49-F238E27FC236}">
              <a16:creationId xmlns:a16="http://schemas.microsoft.com/office/drawing/2014/main" id="{00000000-0008-0000-1200-00005A000000}"/>
            </a:ext>
          </a:extLst>
        </xdr:cNvPr>
        <xdr:cNvSpPr/>
      </xdr:nvSpPr>
      <xdr:spPr>
        <a:xfrm>
          <a:off x="50800" y="5118100"/>
          <a:ext cx="203200" cy="203200"/>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23</xdr:row>
      <xdr:rowOff>63500</xdr:rowOff>
    </xdr:from>
    <xdr:to>
      <xdr:col>0</xdr:col>
      <xdr:colOff>254000</xdr:colOff>
      <xdr:row>23</xdr:row>
      <xdr:rowOff>266700</xdr:rowOff>
    </xdr:to>
    <xdr:sp macro="[0]!InfoButton_Click" textlink="">
      <xdr:nvSpPr>
        <xdr:cNvPr id="94" name="btnInfo2">
          <a:extLst>
            <a:ext uri="{FF2B5EF4-FFF2-40B4-BE49-F238E27FC236}">
              <a16:creationId xmlns:a16="http://schemas.microsoft.com/office/drawing/2014/main" id="{00000000-0008-0000-1200-00005E000000}"/>
            </a:ext>
          </a:extLst>
        </xdr:cNvPr>
        <xdr:cNvSpPr/>
      </xdr:nvSpPr>
      <xdr:spPr>
        <a:xfrm>
          <a:off x="50800" y="5118100"/>
          <a:ext cx="203200" cy="203200"/>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30</xdr:row>
      <xdr:rowOff>38100</xdr:rowOff>
    </xdr:from>
    <xdr:to>
      <xdr:col>0</xdr:col>
      <xdr:colOff>254000</xdr:colOff>
      <xdr:row>30</xdr:row>
      <xdr:rowOff>226060</xdr:rowOff>
    </xdr:to>
    <xdr:sp macro="[0]!InfoButton_Click" textlink="">
      <xdr:nvSpPr>
        <xdr:cNvPr id="95" name="btnInfo3">
          <a:extLst>
            <a:ext uri="{FF2B5EF4-FFF2-40B4-BE49-F238E27FC236}">
              <a16:creationId xmlns:a16="http://schemas.microsoft.com/office/drawing/2014/main" id="{00000000-0008-0000-1200-00005F000000}"/>
            </a:ext>
          </a:extLst>
        </xdr:cNvPr>
        <xdr:cNvSpPr/>
      </xdr:nvSpPr>
      <xdr:spPr>
        <a:xfrm>
          <a:off x="50800" y="9334500"/>
          <a:ext cx="203200" cy="187960"/>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63500</xdr:colOff>
      <xdr:row>41</xdr:row>
      <xdr:rowOff>50800</xdr:rowOff>
    </xdr:from>
    <xdr:to>
      <xdr:col>0</xdr:col>
      <xdr:colOff>264668</xdr:colOff>
      <xdr:row>41</xdr:row>
      <xdr:rowOff>251968</xdr:rowOff>
    </xdr:to>
    <xdr:sp macro="[0]!InfoButton_Click" textlink="">
      <xdr:nvSpPr>
        <xdr:cNvPr id="96" name="btnInfo4">
          <a:extLst>
            <a:ext uri="{FF2B5EF4-FFF2-40B4-BE49-F238E27FC236}">
              <a16:creationId xmlns:a16="http://schemas.microsoft.com/office/drawing/2014/main" id="{00000000-0008-0000-1200-000060000000}"/>
            </a:ext>
          </a:extLst>
        </xdr:cNvPr>
        <xdr:cNvSpPr/>
      </xdr:nvSpPr>
      <xdr:spPr>
        <a:xfrm>
          <a:off x="63500" y="57277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38100</xdr:colOff>
      <xdr:row>48</xdr:row>
      <xdr:rowOff>63500</xdr:rowOff>
    </xdr:from>
    <xdr:to>
      <xdr:col>0</xdr:col>
      <xdr:colOff>239268</xdr:colOff>
      <xdr:row>48</xdr:row>
      <xdr:rowOff>264668</xdr:rowOff>
    </xdr:to>
    <xdr:sp macro="[0]!InfoButton_Click" textlink="">
      <xdr:nvSpPr>
        <xdr:cNvPr id="97" name="btnInfo5">
          <a:extLst>
            <a:ext uri="{FF2B5EF4-FFF2-40B4-BE49-F238E27FC236}">
              <a16:creationId xmlns:a16="http://schemas.microsoft.com/office/drawing/2014/main" id="{00000000-0008-0000-1200-000061000000}"/>
            </a:ext>
          </a:extLst>
        </xdr:cNvPr>
        <xdr:cNvSpPr/>
      </xdr:nvSpPr>
      <xdr:spPr>
        <a:xfrm>
          <a:off x="38100" y="79629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63500</xdr:colOff>
      <xdr:row>60</xdr:row>
      <xdr:rowOff>63500</xdr:rowOff>
    </xdr:from>
    <xdr:to>
      <xdr:col>0</xdr:col>
      <xdr:colOff>264668</xdr:colOff>
      <xdr:row>60</xdr:row>
      <xdr:rowOff>264668</xdr:rowOff>
    </xdr:to>
    <xdr:sp macro="[0]!InfoButton_Click" textlink="">
      <xdr:nvSpPr>
        <xdr:cNvPr id="98" name="btnInfo6">
          <a:extLst>
            <a:ext uri="{FF2B5EF4-FFF2-40B4-BE49-F238E27FC236}">
              <a16:creationId xmlns:a16="http://schemas.microsoft.com/office/drawing/2014/main" id="{00000000-0008-0000-1200-000062000000}"/>
            </a:ext>
          </a:extLst>
        </xdr:cNvPr>
        <xdr:cNvSpPr/>
      </xdr:nvSpPr>
      <xdr:spPr>
        <a:xfrm>
          <a:off x="63500" y="60579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63500</xdr:colOff>
      <xdr:row>66</xdr:row>
      <xdr:rowOff>63500</xdr:rowOff>
    </xdr:from>
    <xdr:to>
      <xdr:col>0</xdr:col>
      <xdr:colOff>264668</xdr:colOff>
      <xdr:row>66</xdr:row>
      <xdr:rowOff>264668</xdr:rowOff>
    </xdr:to>
    <xdr:sp macro="[0]!InfoButton_Click" textlink="">
      <xdr:nvSpPr>
        <xdr:cNvPr id="99" name="btnInfo7">
          <a:extLst>
            <a:ext uri="{FF2B5EF4-FFF2-40B4-BE49-F238E27FC236}">
              <a16:creationId xmlns:a16="http://schemas.microsoft.com/office/drawing/2014/main" id="{00000000-0008-0000-1200-000063000000}"/>
            </a:ext>
          </a:extLst>
        </xdr:cNvPr>
        <xdr:cNvSpPr/>
      </xdr:nvSpPr>
      <xdr:spPr>
        <a:xfrm>
          <a:off x="63500" y="60579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79</xdr:row>
      <xdr:rowOff>63500</xdr:rowOff>
    </xdr:from>
    <xdr:to>
      <xdr:col>0</xdr:col>
      <xdr:colOff>251968</xdr:colOff>
      <xdr:row>79</xdr:row>
      <xdr:rowOff>264668</xdr:rowOff>
    </xdr:to>
    <xdr:sp macro="[0]!InfoButton_Click" textlink="">
      <xdr:nvSpPr>
        <xdr:cNvPr id="100" name="btnInfo8">
          <a:extLst>
            <a:ext uri="{FF2B5EF4-FFF2-40B4-BE49-F238E27FC236}">
              <a16:creationId xmlns:a16="http://schemas.microsoft.com/office/drawing/2014/main" id="{00000000-0008-0000-1200-000064000000}"/>
            </a:ext>
          </a:extLst>
        </xdr:cNvPr>
        <xdr:cNvSpPr/>
      </xdr:nvSpPr>
      <xdr:spPr>
        <a:xfrm>
          <a:off x="50800" y="57531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85</xdr:row>
      <xdr:rowOff>63500</xdr:rowOff>
    </xdr:from>
    <xdr:to>
      <xdr:col>0</xdr:col>
      <xdr:colOff>251968</xdr:colOff>
      <xdr:row>85</xdr:row>
      <xdr:rowOff>264668</xdr:rowOff>
    </xdr:to>
    <xdr:sp macro="[0]!InfoButton_Click" textlink="">
      <xdr:nvSpPr>
        <xdr:cNvPr id="102" name="btnInfo9">
          <a:extLst>
            <a:ext uri="{FF2B5EF4-FFF2-40B4-BE49-F238E27FC236}">
              <a16:creationId xmlns:a16="http://schemas.microsoft.com/office/drawing/2014/main" id="{00000000-0008-0000-1200-000066000000}"/>
            </a:ext>
          </a:extLst>
        </xdr:cNvPr>
        <xdr:cNvSpPr/>
      </xdr:nvSpPr>
      <xdr:spPr>
        <a:xfrm>
          <a:off x="50800" y="5753100"/>
          <a:ext cx="201168" cy="201168"/>
        </a:xfrm>
        <a:prstGeom prst="ellips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7</xdr:col>
      <xdr:colOff>63500</xdr:colOff>
      <xdr:row>10</xdr:row>
      <xdr:rowOff>0</xdr:rowOff>
    </xdr:from>
    <xdr:to>
      <xdr:col>8</xdr:col>
      <xdr:colOff>76200</xdr:colOff>
      <xdr:row>10</xdr:row>
      <xdr:rowOff>1562100</xdr:rowOff>
    </xdr:to>
    <xdr:graphicFrame macro="">
      <xdr:nvGraphicFramePr>
        <xdr:cNvPr id="93" name="Chart 92">
          <a:extLst>
            <a:ext uri="{FF2B5EF4-FFF2-40B4-BE49-F238E27FC236}">
              <a16:creationId xmlns:a16="http://schemas.microsoft.com/office/drawing/2014/main" id="{00000000-0008-0000-12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63500</xdr:colOff>
      <xdr:row>10</xdr:row>
      <xdr:rowOff>0</xdr:rowOff>
    </xdr:from>
    <xdr:to>
      <xdr:col>10</xdr:col>
      <xdr:colOff>76200</xdr:colOff>
      <xdr:row>10</xdr:row>
      <xdr:rowOff>1562100</xdr:rowOff>
    </xdr:to>
    <xdr:graphicFrame macro="">
      <xdr:nvGraphicFramePr>
        <xdr:cNvPr id="101" name="Chart 100">
          <a:extLst>
            <a:ext uri="{FF2B5EF4-FFF2-40B4-BE49-F238E27FC236}">
              <a16:creationId xmlns:a16="http://schemas.microsoft.com/office/drawing/2014/main" id="{00000000-0008-0000-12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10</xdr:row>
      <xdr:rowOff>0</xdr:rowOff>
    </xdr:from>
    <xdr:to>
      <xdr:col>12</xdr:col>
      <xdr:colOff>76200</xdr:colOff>
      <xdr:row>10</xdr:row>
      <xdr:rowOff>1562100</xdr:rowOff>
    </xdr:to>
    <xdr:graphicFrame macro="">
      <xdr:nvGraphicFramePr>
        <xdr:cNvPr id="103" name="Chart 102">
          <a:extLst>
            <a:ext uri="{FF2B5EF4-FFF2-40B4-BE49-F238E27FC236}">
              <a16:creationId xmlns:a16="http://schemas.microsoft.com/office/drawing/2014/main" id="{00000000-0008-0000-1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63500</xdr:colOff>
      <xdr:row>10</xdr:row>
      <xdr:rowOff>0</xdr:rowOff>
    </xdr:from>
    <xdr:to>
      <xdr:col>14</xdr:col>
      <xdr:colOff>76200</xdr:colOff>
      <xdr:row>10</xdr:row>
      <xdr:rowOff>1562100</xdr:rowOff>
    </xdr:to>
    <xdr:graphicFrame macro="">
      <xdr:nvGraphicFramePr>
        <xdr:cNvPr id="104" name="Chart 103">
          <a:extLst>
            <a:ext uri="{FF2B5EF4-FFF2-40B4-BE49-F238E27FC236}">
              <a16:creationId xmlns:a16="http://schemas.microsoft.com/office/drawing/2014/main" id="{00000000-0008-0000-12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1270000</xdr:colOff>
      <xdr:row>0</xdr:row>
      <xdr:rowOff>38100</xdr:rowOff>
    </xdr:from>
    <xdr:to>
      <xdr:col>7</xdr:col>
      <xdr:colOff>1054100</xdr:colOff>
      <xdr:row>0</xdr:row>
      <xdr:rowOff>465925</xdr:rowOff>
    </xdr:to>
    <xdr:sp macro="" textlink="">
      <xdr:nvSpPr>
        <xdr:cNvPr id="92" name="Rectangle 91">
          <a:extLst>
            <a:ext uri="{FF2B5EF4-FFF2-40B4-BE49-F238E27FC236}">
              <a16:creationId xmlns:a16="http://schemas.microsoft.com/office/drawing/2014/main" id="{00000000-0008-0000-1200-00005C000000}"/>
            </a:ext>
          </a:extLst>
        </xdr:cNvPr>
        <xdr:cNvSpPr/>
      </xdr:nvSpPr>
      <xdr:spPr bwMode="auto">
        <a:xfrm>
          <a:off x="6934200" y="38100"/>
          <a:ext cx="2298700"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bg2"/>
              </a:solidFill>
              <a:ea typeface="Segoe UI" pitchFamily="34" charset="0"/>
              <a:cs typeface="Segoe UI" pitchFamily="34" charset="0"/>
            </a:rPr>
            <a:t>Dashboard Tutorial</a:t>
          </a:r>
        </a:p>
      </xdr:txBody>
    </xdr:sp>
    <xdr:clientData/>
  </xdr:twoCellAnchor>
  <xdr:twoCellAnchor>
    <xdr:from>
      <xdr:col>5</xdr:col>
      <xdr:colOff>1092200</xdr:colOff>
      <xdr:row>0</xdr:row>
      <xdr:rowOff>101600</xdr:rowOff>
    </xdr:from>
    <xdr:to>
      <xdr:col>5</xdr:col>
      <xdr:colOff>1358900</xdr:colOff>
      <xdr:row>0</xdr:row>
      <xdr:rowOff>371627</xdr:rowOff>
    </xdr:to>
    <xdr:pic macro="[0]!ShowTutorial">
      <xdr:nvPicPr>
        <xdr:cNvPr id="106" name="btnTutorial1" descr="Image result for video icon">
          <a:extLst>
            <a:ext uri="{FF2B5EF4-FFF2-40B4-BE49-F238E27FC236}">
              <a16:creationId xmlns:a16="http://schemas.microsoft.com/office/drawing/2014/main" id="{00000000-0008-0000-1200-00006A000000}"/>
            </a:ext>
          </a:extLst>
        </xdr:cNvPr>
        <xdr:cNvPicPr>
          <a:picLocks noChangeAspect="1" noChangeArrowheads="1"/>
        </xdr:cNvPicPr>
      </xdr:nvPicPr>
      <xdr:blipFill>
        <a:blip xmlns:r="http://schemas.openxmlformats.org/officeDocument/2006/relationships" r:embed="rId12" cstate="print">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756400" y="101600"/>
          <a:ext cx="266700"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1387101</xdr:colOff>
      <xdr:row>0</xdr:row>
      <xdr:rowOff>38100</xdr:rowOff>
    </xdr:from>
    <xdr:to>
      <xdr:col>9</xdr:col>
      <xdr:colOff>1371600</xdr:colOff>
      <xdr:row>0</xdr:row>
      <xdr:rowOff>465925</xdr:rowOff>
    </xdr:to>
    <xdr:sp macro="" textlink="">
      <xdr:nvSpPr>
        <xdr:cNvPr id="108" name="Rectangle 107">
          <a:extLst>
            <a:ext uri="{FF2B5EF4-FFF2-40B4-BE49-F238E27FC236}">
              <a16:creationId xmlns:a16="http://schemas.microsoft.com/office/drawing/2014/main" id="{00000000-0008-0000-1200-00006C000000}"/>
            </a:ext>
          </a:extLst>
        </xdr:cNvPr>
        <xdr:cNvSpPr/>
      </xdr:nvSpPr>
      <xdr:spPr bwMode="auto">
        <a:xfrm>
          <a:off x="9565901" y="38100"/>
          <a:ext cx="2499099"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bg2"/>
              </a:solidFill>
              <a:ea typeface="Segoe UI" pitchFamily="34" charset="0"/>
              <a:cs typeface="Segoe UI" pitchFamily="34" charset="0"/>
            </a:rPr>
            <a:t>Engineering Tutorial</a:t>
          </a:r>
        </a:p>
      </xdr:txBody>
    </xdr:sp>
    <xdr:clientData/>
  </xdr:twoCellAnchor>
  <xdr:twoCellAnchor>
    <xdr:from>
      <xdr:col>7</xdr:col>
      <xdr:colOff>1193800</xdr:colOff>
      <xdr:row>0</xdr:row>
      <xdr:rowOff>101600</xdr:rowOff>
    </xdr:from>
    <xdr:to>
      <xdr:col>7</xdr:col>
      <xdr:colOff>1483751</xdr:colOff>
      <xdr:row>0</xdr:row>
      <xdr:rowOff>371627</xdr:rowOff>
    </xdr:to>
    <xdr:pic macro="[0]!ShowTutorial">
      <xdr:nvPicPr>
        <xdr:cNvPr id="109" name="btnTutorial3" descr="Image result for video icon">
          <a:extLst>
            <a:ext uri="{FF2B5EF4-FFF2-40B4-BE49-F238E27FC236}">
              <a16:creationId xmlns:a16="http://schemas.microsoft.com/office/drawing/2014/main" id="{00000000-0008-0000-1200-00006D000000}"/>
            </a:ext>
          </a:extLst>
        </xdr:cNvPr>
        <xdr:cNvPicPr>
          <a:picLocks noChangeAspect="1" noChangeArrowheads="1"/>
        </xdr:cNvPicPr>
      </xdr:nvPicPr>
      <xdr:blipFill>
        <a:blip xmlns:r="http://schemas.openxmlformats.org/officeDocument/2006/relationships" r:embed="rId13" cstate="print">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372600" y="101600"/>
          <a:ext cx="289951"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1527288</xdr:colOff>
      <xdr:row>0</xdr:row>
      <xdr:rowOff>38100</xdr:rowOff>
    </xdr:from>
    <xdr:to>
      <xdr:col>9</xdr:col>
      <xdr:colOff>91436</xdr:colOff>
      <xdr:row>0</xdr:row>
      <xdr:rowOff>479575</xdr:rowOff>
    </xdr:to>
    <xdr:grpSp>
      <xdr:nvGrpSpPr>
        <xdr:cNvPr id="12" name="Group 11">
          <a:extLst>
            <a:ext uri="{FF2B5EF4-FFF2-40B4-BE49-F238E27FC236}">
              <a16:creationId xmlns:a16="http://schemas.microsoft.com/office/drawing/2014/main" id="{00000000-0008-0000-1300-00000C000000}"/>
            </a:ext>
          </a:extLst>
        </xdr:cNvPr>
        <xdr:cNvGrpSpPr/>
      </xdr:nvGrpSpPr>
      <xdr:grpSpPr>
        <a:xfrm>
          <a:off x="7242288" y="38100"/>
          <a:ext cx="1059698" cy="441475"/>
          <a:chOff x="15557698" y="121920"/>
          <a:chExt cx="1391651" cy="518966"/>
        </a:xfrm>
      </xdr:grpSpPr>
      <xdr:pic macro="[0]!ToolSave">
        <xdr:nvPicPr>
          <xdr:cNvPr id="13" name="Picture 12" descr="Image result for usb icon">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5560040" y="121920"/>
            <a:ext cx="511053" cy="518160"/>
          </a:xfrm>
          <a:prstGeom prst="rect">
            <a:avLst/>
          </a:prstGeom>
          <a:noFill/>
          <a:extLst>
            <a:ext uri="{909E8E84-426E-40DD-AFC4-6F175D3DCCD1}">
              <a14:hiddenFill xmlns:a14="http://schemas.microsoft.com/office/drawing/2010/main">
                <a:solidFill>
                  <a:srgbClr val="FFFFFF"/>
                </a:solidFill>
              </a14:hiddenFill>
            </a:ext>
          </a:extLst>
        </xdr:spPr>
      </xdr:pic>
      <xdr:sp macro="[0]!ToolSave" textlink="">
        <xdr:nvSpPr>
          <xdr:cNvPr id="14" name="Rectangle 13">
            <a:extLst>
              <a:ext uri="{FF2B5EF4-FFF2-40B4-BE49-F238E27FC236}">
                <a16:creationId xmlns:a16="http://schemas.microsoft.com/office/drawing/2014/main" id="{00000000-0008-0000-1300-00000E000000}"/>
              </a:ext>
            </a:extLst>
          </xdr:cNvPr>
          <xdr:cNvSpPr/>
        </xdr:nvSpPr>
        <xdr:spPr bwMode="auto">
          <a:xfrm>
            <a:off x="15557698" y="137966"/>
            <a:ext cx="1391651"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1"/>
                </a:solidFill>
                <a:ea typeface="Segoe UI" pitchFamily="34" charset="0"/>
                <a:cs typeface="Segoe UI" pitchFamily="34" charset="0"/>
              </a:rPr>
              <a:t>   Save</a:t>
            </a:r>
          </a:p>
        </xdr:txBody>
      </xdr:sp>
    </xdr:grpSp>
    <xdr:clientData/>
  </xdr:twoCellAnchor>
  <xdr:twoCellAnchor>
    <xdr:from>
      <xdr:col>6</xdr:col>
      <xdr:colOff>199183</xdr:colOff>
      <xdr:row>0</xdr:row>
      <xdr:rowOff>81645</xdr:rowOff>
    </xdr:from>
    <xdr:to>
      <xdr:col>7</xdr:col>
      <xdr:colOff>1772520</xdr:colOff>
      <xdr:row>1</xdr:row>
      <xdr:rowOff>1108</xdr:rowOff>
    </xdr:to>
    <xdr:grpSp>
      <xdr:nvGrpSpPr>
        <xdr:cNvPr id="4" name="Group 3">
          <a:extLst>
            <a:ext uri="{FF2B5EF4-FFF2-40B4-BE49-F238E27FC236}">
              <a16:creationId xmlns:a16="http://schemas.microsoft.com/office/drawing/2014/main" id="{00000000-0008-0000-1300-000004000000}"/>
            </a:ext>
          </a:extLst>
        </xdr:cNvPr>
        <xdr:cNvGrpSpPr/>
      </xdr:nvGrpSpPr>
      <xdr:grpSpPr>
        <a:xfrm>
          <a:off x="5628433" y="81645"/>
          <a:ext cx="1859087" cy="395713"/>
          <a:chOff x="5663812" y="81645"/>
          <a:chExt cx="1867251" cy="398434"/>
        </a:xfrm>
      </xdr:grpSpPr>
      <xdr:sp macro="[0]!ShowNavigation" textlink="">
        <xdr:nvSpPr>
          <xdr:cNvPr id="33" name="Rectangle 32">
            <a:extLst>
              <a:ext uri="{FF2B5EF4-FFF2-40B4-BE49-F238E27FC236}">
                <a16:creationId xmlns:a16="http://schemas.microsoft.com/office/drawing/2014/main" id="{00000000-0008-0000-1300-000021000000}"/>
              </a:ext>
            </a:extLst>
          </xdr:cNvPr>
          <xdr:cNvSpPr/>
        </xdr:nvSpPr>
        <xdr:spPr bwMode="auto">
          <a:xfrm>
            <a:off x="5691577" y="81645"/>
            <a:ext cx="1839486" cy="398434"/>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1"/>
                </a:solidFill>
                <a:ea typeface="Segoe UI" pitchFamily="34" charset="0"/>
                <a:cs typeface="Segoe UI" pitchFamily="34" charset="0"/>
              </a:rPr>
              <a:t>   Navigation</a:t>
            </a:r>
          </a:p>
        </xdr:txBody>
      </xdr:sp>
      <xdr:pic>
        <xdr:nvPicPr>
          <xdr:cNvPr id="34" name="Picture 33" descr="Image result for gps icon">
            <a:extLst>
              <a:ext uri="{FF2B5EF4-FFF2-40B4-BE49-F238E27FC236}">
                <a16:creationId xmlns:a16="http://schemas.microsoft.com/office/drawing/2014/main" id="{00000000-0008-0000-1300-000022000000}"/>
              </a:ext>
            </a:extLst>
          </xdr:cNvPr>
          <xdr:cNvPicPr>
            <a:picLocks noChangeAspect="1" noChangeArrowheads="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5663812" y="88772"/>
            <a:ext cx="375977" cy="33577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11</xdr:col>
      <xdr:colOff>36739</xdr:colOff>
      <xdr:row>51</xdr:row>
      <xdr:rowOff>312273</xdr:rowOff>
    </xdr:from>
    <xdr:to>
      <xdr:col>12</xdr:col>
      <xdr:colOff>46318</xdr:colOff>
      <xdr:row>52</xdr:row>
      <xdr:rowOff>289195</xdr:rowOff>
    </xdr:to>
    <xdr:sp macro="[0]!btnPlus" textlink="">
      <xdr:nvSpPr>
        <xdr:cNvPr id="45" name="btnPlus_Dec112">
          <a:extLst>
            <a:ext uri="{FF2B5EF4-FFF2-40B4-BE49-F238E27FC236}">
              <a16:creationId xmlns:a16="http://schemas.microsoft.com/office/drawing/2014/main" id="{00000000-0008-0000-1300-00002D000000}"/>
            </a:ext>
          </a:extLst>
        </xdr:cNvPr>
        <xdr:cNvSpPr/>
      </xdr:nvSpPr>
      <xdr:spPr bwMode="auto">
        <a:xfrm>
          <a:off x="10084253" y="14637873"/>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263286</xdr:colOff>
      <xdr:row>52</xdr:row>
      <xdr:rowOff>9524</xdr:rowOff>
    </xdr:from>
    <xdr:to>
      <xdr:col>9</xdr:col>
      <xdr:colOff>261980</xdr:colOff>
      <xdr:row>52</xdr:row>
      <xdr:rowOff>302132</xdr:rowOff>
    </xdr:to>
    <xdr:sp macro="[0]!btnMinus" textlink="">
      <xdr:nvSpPr>
        <xdr:cNvPr id="46" name="btnMinus_Dec112">
          <a:extLst>
            <a:ext uri="{FF2B5EF4-FFF2-40B4-BE49-F238E27FC236}">
              <a16:creationId xmlns:a16="http://schemas.microsoft.com/office/drawing/2014/main" id="{00000000-0008-0000-1300-00002E000000}"/>
            </a:ext>
          </a:extLst>
        </xdr:cNvPr>
        <xdr:cNvSpPr/>
      </xdr:nvSpPr>
      <xdr:spPr bwMode="auto">
        <a:xfrm>
          <a:off x="7502286" y="14650810"/>
          <a:ext cx="292608" cy="292608"/>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293009</xdr:colOff>
      <xdr:row>58</xdr:row>
      <xdr:rowOff>9524</xdr:rowOff>
    </xdr:from>
    <xdr:to>
      <xdr:col>6</xdr:col>
      <xdr:colOff>289887</xdr:colOff>
      <xdr:row>58</xdr:row>
      <xdr:rowOff>302132</xdr:rowOff>
    </xdr:to>
    <xdr:sp macro="[0]!btnMinus" textlink="">
      <xdr:nvSpPr>
        <xdr:cNvPr id="80" name="btnMinus_Dec113">
          <a:extLst>
            <a:ext uri="{FF2B5EF4-FFF2-40B4-BE49-F238E27FC236}">
              <a16:creationId xmlns:a16="http://schemas.microsoft.com/office/drawing/2014/main" id="{00000000-0008-0000-1300-000050000000}"/>
            </a:ext>
          </a:extLst>
        </xdr:cNvPr>
        <xdr:cNvSpPr/>
      </xdr:nvSpPr>
      <xdr:spPr bwMode="auto">
        <a:xfrm>
          <a:off x="5463723" y="16229238"/>
          <a:ext cx="290793" cy="292608"/>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1832340</xdr:colOff>
      <xdr:row>11</xdr:row>
      <xdr:rowOff>102470</xdr:rowOff>
    </xdr:from>
    <xdr:to>
      <xdr:col>13</xdr:col>
      <xdr:colOff>1152346</xdr:colOff>
      <xdr:row>11</xdr:row>
      <xdr:rowOff>661669</xdr:rowOff>
    </xdr:to>
    <xdr:sp macro="[0]!NavButtons" textlink="">
      <xdr:nvSpPr>
        <xdr:cNvPr id="92" name="NavOps3">
          <a:extLst>
            <a:ext uri="{FF2B5EF4-FFF2-40B4-BE49-F238E27FC236}">
              <a16:creationId xmlns:a16="http://schemas.microsoft.com/office/drawing/2014/main" id="{00000000-0008-0000-1300-00005C000000}"/>
            </a:ext>
          </a:extLst>
        </xdr:cNvPr>
        <xdr:cNvSpPr/>
      </xdr:nvSpPr>
      <xdr:spPr bwMode="auto">
        <a:xfrm>
          <a:off x="10366740" y="2959970"/>
          <a:ext cx="2108926" cy="559199"/>
        </a:xfrm>
        <a:prstGeom prst="rect">
          <a:avLst/>
        </a:prstGeom>
        <a:solidFill>
          <a:srgbClr val="0078D7"/>
        </a:solidFill>
        <a:ln>
          <a:solidFill>
            <a:srgbClr val="0078D7"/>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Marketing</a:t>
          </a:r>
        </a:p>
      </xdr:txBody>
    </xdr:sp>
    <xdr:clientData/>
  </xdr:twoCellAnchor>
  <xdr:twoCellAnchor>
    <xdr:from>
      <xdr:col>5</xdr:col>
      <xdr:colOff>36738</xdr:colOff>
      <xdr:row>17</xdr:row>
      <xdr:rowOff>22712</xdr:rowOff>
    </xdr:from>
    <xdr:to>
      <xdr:col>6</xdr:col>
      <xdr:colOff>39786</xdr:colOff>
      <xdr:row>17</xdr:row>
      <xdr:rowOff>315320</xdr:rowOff>
    </xdr:to>
    <xdr:sp macro="[0]!btnPlus" textlink="">
      <xdr:nvSpPr>
        <xdr:cNvPr id="88" name="btnPlus_Dec135">
          <a:extLst>
            <a:ext uri="{FF2B5EF4-FFF2-40B4-BE49-F238E27FC236}">
              <a16:creationId xmlns:a16="http://schemas.microsoft.com/office/drawing/2014/main" id="{00000000-0008-0000-1300-000058000000}"/>
            </a:ext>
          </a:extLst>
        </xdr:cNvPr>
        <xdr:cNvSpPr/>
      </xdr:nvSpPr>
      <xdr:spPr bwMode="auto">
        <a:xfrm>
          <a:off x="5195478" y="5699612"/>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2636371</xdr:colOff>
      <xdr:row>17</xdr:row>
      <xdr:rowOff>9524</xdr:rowOff>
    </xdr:from>
    <xdr:to>
      <xdr:col>3</xdr:col>
      <xdr:colOff>281029</xdr:colOff>
      <xdr:row>17</xdr:row>
      <xdr:rowOff>302132</xdr:rowOff>
    </xdr:to>
    <xdr:sp macro="[0]!btnMinus" textlink="">
      <xdr:nvSpPr>
        <xdr:cNvPr id="89" name="btnMinus_Dec1">
          <a:extLst>
            <a:ext uri="{FF2B5EF4-FFF2-40B4-BE49-F238E27FC236}">
              <a16:creationId xmlns:a16="http://schemas.microsoft.com/office/drawing/2014/main" id="{00000000-0008-0000-1300-000059000000}"/>
            </a:ext>
          </a:extLst>
        </xdr:cNvPr>
        <xdr:cNvSpPr/>
      </xdr:nvSpPr>
      <xdr:spPr bwMode="auto">
        <a:xfrm>
          <a:off x="3223111" y="21947504"/>
          <a:ext cx="0" cy="23164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0</xdr:colOff>
      <xdr:row>17</xdr:row>
      <xdr:rowOff>22860</xdr:rowOff>
    </xdr:from>
    <xdr:to>
      <xdr:col>4</xdr:col>
      <xdr:colOff>327</xdr:colOff>
      <xdr:row>17</xdr:row>
      <xdr:rowOff>326354</xdr:rowOff>
    </xdr:to>
    <xdr:sp macro="[0]!btnMinus" textlink="">
      <xdr:nvSpPr>
        <xdr:cNvPr id="90" name="btnMinus_Dec135">
          <a:extLst>
            <a:ext uri="{FF2B5EF4-FFF2-40B4-BE49-F238E27FC236}">
              <a16:creationId xmlns:a16="http://schemas.microsoft.com/office/drawing/2014/main" id="{00000000-0008-0000-1300-00005A000000}"/>
            </a:ext>
          </a:extLst>
        </xdr:cNvPr>
        <xdr:cNvSpPr/>
      </xdr:nvSpPr>
      <xdr:spPr bwMode="auto">
        <a:xfrm>
          <a:off x="2651760" y="5699760"/>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36738</xdr:colOff>
      <xdr:row>26</xdr:row>
      <xdr:rowOff>22712</xdr:rowOff>
    </xdr:from>
    <xdr:to>
      <xdr:col>6</xdr:col>
      <xdr:colOff>39786</xdr:colOff>
      <xdr:row>26</xdr:row>
      <xdr:rowOff>315320</xdr:rowOff>
    </xdr:to>
    <xdr:sp macro="[0]!btnPlus" textlink="">
      <xdr:nvSpPr>
        <xdr:cNvPr id="94" name="btnPlus_Dec132">
          <a:extLst>
            <a:ext uri="{FF2B5EF4-FFF2-40B4-BE49-F238E27FC236}">
              <a16:creationId xmlns:a16="http://schemas.microsoft.com/office/drawing/2014/main" id="{00000000-0008-0000-1300-00005E000000}"/>
            </a:ext>
          </a:extLst>
        </xdr:cNvPr>
        <xdr:cNvSpPr/>
      </xdr:nvSpPr>
      <xdr:spPr bwMode="auto">
        <a:xfrm>
          <a:off x="5195478" y="8031332"/>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2636371</xdr:colOff>
      <xdr:row>26</xdr:row>
      <xdr:rowOff>9524</xdr:rowOff>
    </xdr:from>
    <xdr:to>
      <xdr:col>3</xdr:col>
      <xdr:colOff>281029</xdr:colOff>
      <xdr:row>26</xdr:row>
      <xdr:rowOff>302132</xdr:rowOff>
    </xdr:to>
    <xdr:sp macro="[0]!btnMinus" textlink="">
      <xdr:nvSpPr>
        <xdr:cNvPr id="95" name="btnMinus_Dec1">
          <a:extLst>
            <a:ext uri="{FF2B5EF4-FFF2-40B4-BE49-F238E27FC236}">
              <a16:creationId xmlns:a16="http://schemas.microsoft.com/office/drawing/2014/main" id="{00000000-0008-0000-1300-00005F000000}"/>
            </a:ext>
          </a:extLst>
        </xdr:cNvPr>
        <xdr:cNvSpPr/>
      </xdr:nvSpPr>
      <xdr:spPr bwMode="auto">
        <a:xfrm>
          <a:off x="8092291" y="15851504"/>
          <a:ext cx="0" cy="23164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0</xdr:colOff>
      <xdr:row>26</xdr:row>
      <xdr:rowOff>22860</xdr:rowOff>
    </xdr:from>
    <xdr:to>
      <xdr:col>4</xdr:col>
      <xdr:colOff>327</xdr:colOff>
      <xdr:row>26</xdr:row>
      <xdr:rowOff>326354</xdr:rowOff>
    </xdr:to>
    <xdr:sp macro="[0]!btnMinus" textlink="">
      <xdr:nvSpPr>
        <xdr:cNvPr id="99" name="btnMinus_Dec132">
          <a:extLst>
            <a:ext uri="{FF2B5EF4-FFF2-40B4-BE49-F238E27FC236}">
              <a16:creationId xmlns:a16="http://schemas.microsoft.com/office/drawing/2014/main" id="{00000000-0008-0000-1300-000063000000}"/>
            </a:ext>
          </a:extLst>
        </xdr:cNvPr>
        <xdr:cNvSpPr/>
      </xdr:nvSpPr>
      <xdr:spPr bwMode="auto">
        <a:xfrm>
          <a:off x="2651760" y="8031480"/>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36738</xdr:colOff>
      <xdr:row>23</xdr:row>
      <xdr:rowOff>88028</xdr:rowOff>
    </xdr:from>
    <xdr:to>
      <xdr:col>6</xdr:col>
      <xdr:colOff>39786</xdr:colOff>
      <xdr:row>23</xdr:row>
      <xdr:rowOff>380636</xdr:rowOff>
    </xdr:to>
    <xdr:sp macro="[0]!btnPlus" textlink="">
      <xdr:nvSpPr>
        <xdr:cNvPr id="122" name="btnPlus_Dec137">
          <a:extLst>
            <a:ext uri="{FF2B5EF4-FFF2-40B4-BE49-F238E27FC236}">
              <a16:creationId xmlns:a16="http://schemas.microsoft.com/office/drawing/2014/main" id="{00000000-0008-0000-1300-00007A000000}"/>
            </a:ext>
          </a:extLst>
        </xdr:cNvPr>
        <xdr:cNvSpPr/>
      </xdr:nvSpPr>
      <xdr:spPr bwMode="auto">
        <a:xfrm>
          <a:off x="5195478" y="6930788"/>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2636371</xdr:colOff>
      <xdr:row>23</xdr:row>
      <xdr:rowOff>9524</xdr:rowOff>
    </xdr:from>
    <xdr:to>
      <xdr:col>3</xdr:col>
      <xdr:colOff>281029</xdr:colOff>
      <xdr:row>23</xdr:row>
      <xdr:rowOff>302132</xdr:rowOff>
    </xdr:to>
    <xdr:sp macro="[0]!btnMinus" textlink="">
      <xdr:nvSpPr>
        <xdr:cNvPr id="123" name="btnMinus_Dec1">
          <a:extLst>
            <a:ext uri="{FF2B5EF4-FFF2-40B4-BE49-F238E27FC236}">
              <a16:creationId xmlns:a16="http://schemas.microsoft.com/office/drawing/2014/main" id="{00000000-0008-0000-1300-00007B000000}"/>
            </a:ext>
          </a:extLst>
        </xdr:cNvPr>
        <xdr:cNvSpPr/>
      </xdr:nvSpPr>
      <xdr:spPr bwMode="auto">
        <a:xfrm>
          <a:off x="3223111" y="23898224"/>
          <a:ext cx="0" cy="23164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0</xdr:colOff>
      <xdr:row>23</xdr:row>
      <xdr:rowOff>88176</xdr:rowOff>
    </xdr:from>
    <xdr:to>
      <xdr:col>4</xdr:col>
      <xdr:colOff>327</xdr:colOff>
      <xdr:row>23</xdr:row>
      <xdr:rowOff>391670</xdr:rowOff>
    </xdr:to>
    <xdr:sp macro="[0]!btnMinus" textlink="">
      <xdr:nvSpPr>
        <xdr:cNvPr id="124" name="btnMinus_Dec137">
          <a:extLst>
            <a:ext uri="{FF2B5EF4-FFF2-40B4-BE49-F238E27FC236}">
              <a16:creationId xmlns:a16="http://schemas.microsoft.com/office/drawing/2014/main" id="{00000000-0008-0000-1300-00007C000000}"/>
            </a:ext>
          </a:extLst>
        </xdr:cNvPr>
        <xdr:cNvSpPr/>
      </xdr:nvSpPr>
      <xdr:spPr bwMode="auto">
        <a:xfrm>
          <a:off x="2651760" y="6930936"/>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82459</xdr:colOff>
      <xdr:row>36</xdr:row>
      <xdr:rowOff>64078</xdr:rowOff>
    </xdr:from>
    <xdr:to>
      <xdr:col>6</xdr:col>
      <xdr:colOff>81152</xdr:colOff>
      <xdr:row>36</xdr:row>
      <xdr:rowOff>356686</xdr:rowOff>
    </xdr:to>
    <xdr:sp macro="[0]!btnPlus" textlink="">
      <xdr:nvSpPr>
        <xdr:cNvPr id="148" name="btnPlus_Dec138">
          <a:extLst>
            <a:ext uri="{FF2B5EF4-FFF2-40B4-BE49-F238E27FC236}">
              <a16:creationId xmlns:a16="http://schemas.microsoft.com/office/drawing/2014/main" id="{00000000-0008-0000-1300-000094000000}"/>
            </a:ext>
          </a:extLst>
        </xdr:cNvPr>
        <xdr:cNvSpPr/>
      </xdr:nvSpPr>
      <xdr:spPr bwMode="auto">
        <a:xfrm>
          <a:off x="5253173" y="24502507"/>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221919</xdr:colOff>
      <xdr:row>36</xdr:row>
      <xdr:rowOff>77016</xdr:rowOff>
    </xdr:from>
    <xdr:to>
      <xdr:col>3</xdr:col>
      <xdr:colOff>220613</xdr:colOff>
      <xdr:row>36</xdr:row>
      <xdr:rowOff>369624</xdr:rowOff>
    </xdr:to>
    <xdr:sp macro="[0]!btnMinus" textlink="">
      <xdr:nvSpPr>
        <xdr:cNvPr id="149" name="btnMinus_Dec138">
          <a:extLst>
            <a:ext uri="{FF2B5EF4-FFF2-40B4-BE49-F238E27FC236}">
              <a16:creationId xmlns:a16="http://schemas.microsoft.com/office/drawing/2014/main" id="{00000000-0008-0000-1300-000095000000}"/>
            </a:ext>
          </a:extLst>
        </xdr:cNvPr>
        <xdr:cNvSpPr/>
      </xdr:nvSpPr>
      <xdr:spPr bwMode="auto">
        <a:xfrm>
          <a:off x="2584119" y="24515445"/>
          <a:ext cx="292608" cy="292608"/>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255571</xdr:colOff>
      <xdr:row>11</xdr:row>
      <xdr:rowOff>102470</xdr:rowOff>
    </xdr:from>
    <xdr:to>
      <xdr:col>7</xdr:col>
      <xdr:colOff>2048085</xdr:colOff>
      <xdr:row>11</xdr:row>
      <xdr:rowOff>661669</xdr:rowOff>
    </xdr:to>
    <xdr:sp macro="[0]!NavButtons" textlink="">
      <xdr:nvSpPr>
        <xdr:cNvPr id="151" name="NavOps1">
          <a:extLst>
            <a:ext uri="{FF2B5EF4-FFF2-40B4-BE49-F238E27FC236}">
              <a16:creationId xmlns:a16="http://schemas.microsoft.com/office/drawing/2014/main" id="{00000000-0008-0000-1300-000097000000}"/>
            </a:ext>
          </a:extLst>
        </xdr:cNvPr>
        <xdr:cNvSpPr/>
      </xdr:nvSpPr>
      <xdr:spPr bwMode="auto">
        <a:xfrm>
          <a:off x="5703871" y="2959970"/>
          <a:ext cx="2082074" cy="559199"/>
        </a:xfrm>
        <a:prstGeom prst="rect">
          <a:avLst/>
        </a:prstGeom>
        <a:solidFill>
          <a:srgbClr val="FFFFFF"/>
        </a:solidFill>
        <a:ln>
          <a:solidFill>
            <a:srgbClr val="0078D7"/>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0066CC" mc:Ignorable="a14" a14:legacySpreadsheetColorIndex="30"/>
              </a:solidFill>
              <a:latin typeface="+mj-lt"/>
              <a:ea typeface="Segoe UI" pitchFamily="34" charset="0"/>
              <a:cs typeface="Segoe UI" pitchFamily="34" charset="0"/>
            </a:rPr>
            <a:t>Operations</a:t>
          </a:r>
        </a:p>
      </xdr:txBody>
    </xdr:sp>
    <xdr:clientData/>
  </xdr:twoCellAnchor>
  <xdr:twoCellAnchor>
    <xdr:from>
      <xdr:col>8</xdr:col>
      <xdr:colOff>36739</xdr:colOff>
      <xdr:row>58</xdr:row>
      <xdr:rowOff>20173</xdr:rowOff>
    </xdr:from>
    <xdr:to>
      <xdr:col>9</xdr:col>
      <xdr:colOff>37247</xdr:colOff>
      <xdr:row>58</xdr:row>
      <xdr:rowOff>312781</xdr:rowOff>
    </xdr:to>
    <xdr:sp macro="[0]!btnPlus" textlink="">
      <xdr:nvSpPr>
        <xdr:cNvPr id="170" name="btnPlus_Dec113">
          <a:extLst>
            <a:ext uri="{FF2B5EF4-FFF2-40B4-BE49-F238E27FC236}">
              <a16:creationId xmlns:a16="http://schemas.microsoft.com/office/drawing/2014/main" id="{00000000-0008-0000-1300-0000AA000000}"/>
            </a:ext>
          </a:extLst>
        </xdr:cNvPr>
        <xdr:cNvSpPr/>
      </xdr:nvSpPr>
      <xdr:spPr bwMode="auto">
        <a:xfrm>
          <a:off x="5348968" y="16871259"/>
          <a:ext cx="294422"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2636371</xdr:colOff>
      <xdr:row>26</xdr:row>
      <xdr:rowOff>9524</xdr:rowOff>
    </xdr:from>
    <xdr:to>
      <xdr:col>2</xdr:col>
      <xdr:colOff>281029</xdr:colOff>
      <xdr:row>26</xdr:row>
      <xdr:rowOff>302132</xdr:rowOff>
    </xdr:to>
    <xdr:sp macro="[0]!btnMinus" textlink="">
      <xdr:nvSpPr>
        <xdr:cNvPr id="171" name="btnMinus_Dec1">
          <a:extLst>
            <a:ext uri="{FF2B5EF4-FFF2-40B4-BE49-F238E27FC236}">
              <a16:creationId xmlns:a16="http://schemas.microsoft.com/office/drawing/2014/main" id="{00000000-0008-0000-1300-0000AB000000}"/>
            </a:ext>
          </a:extLst>
        </xdr:cNvPr>
        <xdr:cNvSpPr/>
      </xdr:nvSpPr>
      <xdr:spPr bwMode="auto">
        <a:xfrm>
          <a:off x="9749097" y="36269838"/>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36739</xdr:colOff>
      <xdr:row>65</xdr:row>
      <xdr:rowOff>7472</xdr:rowOff>
    </xdr:from>
    <xdr:to>
      <xdr:col>9</xdr:col>
      <xdr:colOff>0</xdr:colOff>
      <xdr:row>65</xdr:row>
      <xdr:rowOff>300080</xdr:rowOff>
    </xdr:to>
    <xdr:sp macro="[0]!btnPlus" textlink="">
      <xdr:nvSpPr>
        <xdr:cNvPr id="215" name="btnPlus_Dec118">
          <a:extLst>
            <a:ext uri="{FF2B5EF4-FFF2-40B4-BE49-F238E27FC236}">
              <a16:creationId xmlns:a16="http://schemas.microsoft.com/office/drawing/2014/main" id="{00000000-0008-0000-1300-0000D7000000}"/>
            </a:ext>
          </a:extLst>
        </xdr:cNvPr>
        <xdr:cNvSpPr/>
      </xdr:nvSpPr>
      <xdr:spPr bwMode="auto">
        <a:xfrm>
          <a:off x="5348968" y="19699729"/>
          <a:ext cx="257175"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2636371</xdr:colOff>
      <xdr:row>65</xdr:row>
      <xdr:rowOff>9524</xdr:rowOff>
    </xdr:from>
    <xdr:to>
      <xdr:col>6</xdr:col>
      <xdr:colOff>281029</xdr:colOff>
      <xdr:row>65</xdr:row>
      <xdr:rowOff>302132</xdr:rowOff>
    </xdr:to>
    <xdr:sp macro="[0]!btnMinus" textlink="">
      <xdr:nvSpPr>
        <xdr:cNvPr id="216" name="btnMinus_Dec1">
          <a:extLst>
            <a:ext uri="{FF2B5EF4-FFF2-40B4-BE49-F238E27FC236}">
              <a16:creationId xmlns:a16="http://schemas.microsoft.com/office/drawing/2014/main" id="{00000000-0008-0000-1300-0000D8000000}"/>
            </a:ext>
          </a:extLst>
        </xdr:cNvPr>
        <xdr:cNvSpPr/>
      </xdr:nvSpPr>
      <xdr:spPr bwMode="auto">
        <a:xfrm>
          <a:off x="3223111" y="17855564"/>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0</xdr:colOff>
      <xdr:row>65</xdr:row>
      <xdr:rowOff>0</xdr:rowOff>
    </xdr:from>
    <xdr:to>
      <xdr:col>6</xdr:col>
      <xdr:colOff>289887</xdr:colOff>
      <xdr:row>65</xdr:row>
      <xdr:rowOff>303494</xdr:rowOff>
    </xdr:to>
    <xdr:sp macro="[0]!btnMinus" textlink="">
      <xdr:nvSpPr>
        <xdr:cNvPr id="217" name="btnMinus_Dec118">
          <a:extLst>
            <a:ext uri="{FF2B5EF4-FFF2-40B4-BE49-F238E27FC236}">
              <a16:creationId xmlns:a16="http://schemas.microsoft.com/office/drawing/2014/main" id="{00000000-0008-0000-1300-0000D9000000}"/>
            </a:ext>
          </a:extLst>
        </xdr:cNvPr>
        <xdr:cNvSpPr/>
      </xdr:nvSpPr>
      <xdr:spPr bwMode="auto">
        <a:xfrm>
          <a:off x="5464629" y="18113829"/>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36739</xdr:colOff>
      <xdr:row>70</xdr:row>
      <xdr:rowOff>7472</xdr:rowOff>
    </xdr:from>
    <xdr:to>
      <xdr:col>9</xdr:col>
      <xdr:colOff>46318</xdr:colOff>
      <xdr:row>70</xdr:row>
      <xdr:rowOff>300080</xdr:rowOff>
    </xdr:to>
    <xdr:sp macro="[0]!btnPlus" textlink="">
      <xdr:nvSpPr>
        <xdr:cNvPr id="219" name="btnPlus_Dec119">
          <a:extLst>
            <a:ext uri="{FF2B5EF4-FFF2-40B4-BE49-F238E27FC236}">
              <a16:creationId xmlns:a16="http://schemas.microsoft.com/office/drawing/2014/main" id="{00000000-0008-0000-1300-0000DB000000}"/>
            </a:ext>
          </a:extLst>
        </xdr:cNvPr>
        <xdr:cNvSpPr/>
      </xdr:nvSpPr>
      <xdr:spPr bwMode="auto">
        <a:xfrm>
          <a:off x="10084253" y="16227186"/>
          <a:ext cx="29260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2636371</xdr:colOff>
      <xdr:row>70</xdr:row>
      <xdr:rowOff>9524</xdr:rowOff>
    </xdr:from>
    <xdr:to>
      <xdr:col>2</xdr:col>
      <xdr:colOff>281029</xdr:colOff>
      <xdr:row>70</xdr:row>
      <xdr:rowOff>302132</xdr:rowOff>
    </xdr:to>
    <xdr:sp macro="[0]!btnMinus" textlink="">
      <xdr:nvSpPr>
        <xdr:cNvPr id="220" name="btnMinus_Dec1">
          <a:extLst>
            <a:ext uri="{FF2B5EF4-FFF2-40B4-BE49-F238E27FC236}">
              <a16:creationId xmlns:a16="http://schemas.microsoft.com/office/drawing/2014/main" id="{00000000-0008-0000-1300-0000DC000000}"/>
            </a:ext>
          </a:extLst>
        </xdr:cNvPr>
        <xdr:cNvSpPr/>
      </xdr:nvSpPr>
      <xdr:spPr bwMode="auto">
        <a:xfrm>
          <a:off x="8092291" y="17855564"/>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2636371</xdr:colOff>
      <xdr:row>65</xdr:row>
      <xdr:rowOff>9524</xdr:rowOff>
    </xdr:from>
    <xdr:to>
      <xdr:col>15</xdr:col>
      <xdr:colOff>281029</xdr:colOff>
      <xdr:row>65</xdr:row>
      <xdr:rowOff>302132</xdr:rowOff>
    </xdr:to>
    <xdr:sp macro="[0]!btnMinus" textlink="">
      <xdr:nvSpPr>
        <xdr:cNvPr id="222" name="btnMinus_Dec1">
          <a:extLst>
            <a:ext uri="{FF2B5EF4-FFF2-40B4-BE49-F238E27FC236}">
              <a16:creationId xmlns:a16="http://schemas.microsoft.com/office/drawing/2014/main" id="{00000000-0008-0000-1300-0000DE000000}"/>
            </a:ext>
          </a:extLst>
        </xdr:cNvPr>
        <xdr:cNvSpPr/>
      </xdr:nvSpPr>
      <xdr:spPr bwMode="auto">
        <a:xfrm>
          <a:off x="13106251" y="17855564"/>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266007</xdr:colOff>
      <xdr:row>70</xdr:row>
      <xdr:rowOff>0</xdr:rowOff>
    </xdr:from>
    <xdr:to>
      <xdr:col>6</xdr:col>
      <xdr:colOff>261980</xdr:colOff>
      <xdr:row>70</xdr:row>
      <xdr:rowOff>303494</xdr:rowOff>
    </xdr:to>
    <xdr:sp macro="[0]!btnMinus" textlink="">
      <xdr:nvSpPr>
        <xdr:cNvPr id="223" name="btnMinus_Dec119">
          <a:extLst>
            <a:ext uri="{FF2B5EF4-FFF2-40B4-BE49-F238E27FC236}">
              <a16:creationId xmlns:a16="http://schemas.microsoft.com/office/drawing/2014/main" id="{00000000-0008-0000-1300-0000DF000000}"/>
            </a:ext>
          </a:extLst>
        </xdr:cNvPr>
        <xdr:cNvSpPr/>
      </xdr:nvSpPr>
      <xdr:spPr bwMode="auto">
        <a:xfrm>
          <a:off x="7505007" y="16219714"/>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2636371</xdr:colOff>
      <xdr:row>75</xdr:row>
      <xdr:rowOff>9524</xdr:rowOff>
    </xdr:from>
    <xdr:to>
      <xdr:col>2</xdr:col>
      <xdr:colOff>281029</xdr:colOff>
      <xdr:row>75</xdr:row>
      <xdr:rowOff>302132</xdr:rowOff>
    </xdr:to>
    <xdr:sp macro="[0]!btnMinus" textlink="">
      <xdr:nvSpPr>
        <xdr:cNvPr id="237" name="btnMinus_Dec1">
          <a:extLst>
            <a:ext uri="{FF2B5EF4-FFF2-40B4-BE49-F238E27FC236}">
              <a16:creationId xmlns:a16="http://schemas.microsoft.com/office/drawing/2014/main" id="{00000000-0008-0000-1300-0000ED000000}"/>
            </a:ext>
          </a:extLst>
        </xdr:cNvPr>
        <xdr:cNvSpPr/>
      </xdr:nvSpPr>
      <xdr:spPr bwMode="auto">
        <a:xfrm>
          <a:off x="10619954" y="16229238"/>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2636371</xdr:colOff>
      <xdr:row>65</xdr:row>
      <xdr:rowOff>9524</xdr:rowOff>
    </xdr:from>
    <xdr:to>
      <xdr:col>2</xdr:col>
      <xdr:colOff>281029</xdr:colOff>
      <xdr:row>65</xdr:row>
      <xdr:rowOff>302132</xdr:rowOff>
    </xdr:to>
    <xdr:sp macro="[0]!btnMinus" textlink="">
      <xdr:nvSpPr>
        <xdr:cNvPr id="254" name="btnMinus_Dec1">
          <a:extLst>
            <a:ext uri="{FF2B5EF4-FFF2-40B4-BE49-F238E27FC236}">
              <a16:creationId xmlns:a16="http://schemas.microsoft.com/office/drawing/2014/main" id="{00000000-0008-0000-1300-0000FE000000}"/>
            </a:ext>
          </a:extLst>
        </xdr:cNvPr>
        <xdr:cNvSpPr/>
      </xdr:nvSpPr>
      <xdr:spPr bwMode="auto">
        <a:xfrm>
          <a:off x="15202840" y="16229238"/>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2636371</xdr:colOff>
      <xdr:row>65</xdr:row>
      <xdr:rowOff>9524</xdr:rowOff>
    </xdr:from>
    <xdr:to>
      <xdr:col>6</xdr:col>
      <xdr:colOff>281029</xdr:colOff>
      <xdr:row>65</xdr:row>
      <xdr:rowOff>302132</xdr:rowOff>
    </xdr:to>
    <xdr:sp macro="[0]!btnMinus" textlink="">
      <xdr:nvSpPr>
        <xdr:cNvPr id="266" name="btnMinus_Dec1">
          <a:extLst>
            <a:ext uri="{FF2B5EF4-FFF2-40B4-BE49-F238E27FC236}">
              <a16:creationId xmlns:a16="http://schemas.microsoft.com/office/drawing/2014/main" id="{00000000-0008-0000-1300-00000A010000}"/>
            </a:ext>
          </a:extLst>
        </xdr:cNvPr>
        <xdr:cNvSpPr/>
      </xdr:nvSpPr>
      <xdr:spPr bwMode="auto">
        <a:xfrm>
          <a:off x="2651611" y="16229238"/>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36739</xdr:colOff>
      <xdr:row>65</xdr:row>
      <xdr:rowOff>7472</xdr:rowOff>
    </xdr:from>
    <xdr:to>
      <xdr:col>18</xdr:col>
      <xdr:colOff>0</xdr:colOff>
      <xdr:row>65</xdr:row>
      <xdr:rowOff>300080</xdr:rowOff>
    </xdr:to>
    <xdr:sp macro="[0]!btnPlus" textlink="">
      <xdr:nvSpPr>
        <xdr:cNvPr id="278" name="btnPlus_Dec128">
          <a:extLst>
            <a:ext uri="{FF2B5EF4-FFF2-40B4-BE49-F238E27FC236}">
              <a16:creationId xmlns:a16="http://schemas.microsoft.com/office/drawing/2014/main" id="{00000000-0008-0000-1300-000016010000}"/>
            </a:ext>
          </a:extLst>
        </xdr:cNvPr>
        <xdr:cNvSpPr/>
      </xdr:nvSpPr>
      <xdr:spPr bwMode="auto">
        <a:xfrm>
          <a:off x="5055053" y="19699729"/>
          <a:ext cx="257176"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2636371</xdr:colOff>
      <xdr:row>65</xdr:row>
      <xdr:rowOff>9524</xdr:rowOff>
    </xdr:from>
    <xdr:to>
      <xdr:col>15</xdr:col>
      <xdr:colOff>281029</xdr:colOff>
      <xdr:row>65</xdr:row>
      <xdr:rowOff>302132</xdr:rowOff>
    </xdr:to>
    <xdr:sp macro="[0]!btnMinus" textlink="">
      <xdr:nvSpPr>
        <xdr:cNvPr id="279" name="btnMinus_Dec1">
          <a:extLst>
            <a:ext uri="{FF2B5EF4-FFF2-40B4-BE49-F238E27FC236}">
              <a16:creationId xmlns:a16="http://schemas.microsoft.com/office/drawing/2014/main" id="{00000000-0008-0000-1300-000017010000}"/>
            </a:ext>
          </a:extLst>
        </xdr:cNvPr>
        <xdr:cNvSpPr/>
      </xdr:nvSpPr>
      <xdr:spPr bwMode="auto">
        <a:xfrm>
          <a:off x="2945525" y="19701781"/>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0</xdr:colOff>
      <xdr:row>65</xdr:row>
      <xdr:rowOff>0</xdr:rowOff>
    </xdr:from>
    <xdr:to>
      <xdr:col>15</xdr:col>
      <xdr:colOff>289887</xdr:colOff>
      <xdr:row>65</xdr:row>
      <xdr:rowOff>303494</xdr:rowOff>
    </xdr:to>
    <xdr:sp macro="[0]!btnMinus" textlink="">
      <xdr:nvSpPr>
        <xdr:cNvPr id="280" name="btnMinus_Dec118">
          <a:extLst>
            <a:ext uri="{FF2B5EF4-FFF2-40B4-BE49-F238E27FC236}">
              <a16:creationId xmlns:a16="http://schemas.microsoft.com/office/drawing/2014/main" id="{00000000-0008-0000-1300-000018010000}"/>
            </a:ext>
          </a:extLst>
        </xdr:cNvPr>
        <xdr:cNvSpPr/>
      </xdr:nvSpPr>
      <xdr:spPr bwMode="auto">
        <a:xfrm>
          <a:off x="2656114" y="19692257"/>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2636371</xdr:colOff>
      <xdr:row>70</xdr:row>
      <xdr:rowOff>9524</xdr:rowOff>
    </xdr:from>
    <xdr:to>
      <xdr:col>11</xdr:col>
      <xdr:colOff>281029</xdr:colOff>
      <xdr:row>70</xdr:row>
      <xdr:rowOff>302132</xdr:rowOff>
    </xdr:to>
    <xdr:sp macro="[0]!btnMinus" textlink="">
      <xdr:nvSpPr>
        <xdr:cNvPr id="282" name="btnMinus_Dec1">
          <a:extLst>
            <a:ext uri="{FF2B5EF4-FFF2-40B4-BE49-F238E27FC236}">
              <a16:creationId xmlns:a16="http://schemas.microsoft.com/office/drawing/2014/main" id="{00000000-0008-0000-1300-00001A010000}"/>
            </a:ext>
          </a:extLst>
        </xdr:cNvPr>
        <xdr:cNvSpPr/>
      </xdr:nvSpPr>
      <xdr:spPr bwMode="auto">
        <a:xfrm>
          <a:off x="2651611" y="22227267"/>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2636371</xdr:colOff>
      <xdr:row>76</xdr:row>
      <xdr:rowOff>9524</xdr:rowOff>
    </xdr:from>
    <xdr:to>
      <xdr:col>11</xdr:col>
      <xdr:colOff>281029</xdr:colOff>
      <xdr:row>76</xdr:row>
      <xdr:rowOff>302132</xdr:rowOff>
    </xdr:to>
    <xdr:sp macro="[0]!btnMinus" textlink="">
      <xdr:nvSpPr>
        <xdr:cNvPr id="284" name="btnMinus_Dec1">
          <a:extLst>
            <a:ext uri="{FF2B5EF4-FFF2-40B4-BE49-F238E27FC236}">
              <a16:creationId xmlns:a16="http://schemas.microsoft.com/office/drawing/2014/main" id="{00000000-0008-0000-1300-00001C010000}"/>
            </a:ext>
          </a:extLst>
        </xdr:cNvPr>
        <xdr:cNvSpPr/>
      </xdr:nvSpPr>
      <xdr:spPr bwMode="auto">
        <a:xfrm>
          <a:off x="2651611" y="24752753"/>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2636371</xdr:colOff>
      <xdr:row>67</xdr:row>
      <xdr:rowOff>9524</xdr:rowOff>
    </xdr:from>
    <xdr:to>
      <xdr:col>11</xdr:col>
      <xdr:colOff>281029</xdr:colOff>
      <xdr:row>67</xdr:row>
      <xdr:rowOff>302132</xdr:rowOff>
    </xdr:to>
    <xdr:sp macro="[0]!btnMinus" textlink="">
      <xdr:nvSpPr>
        <xdr:cNvPr id="285" name="btnMinus_Dec1">
          <a:extLst>
            <a:ext uri="{FF2B5EF4-FFF2-40B4-BE49-F238E27FC236}">
              <a16:creationId xmlns:a16="http://schemas.microsoft.com/office/drawing/2014/main" id="{00000000-0008-0000-1300-00001D010000}"/>
            </a:ext>
          </a:extLst>
        </xdr:cNvPr>
        <xdr:cNvSpPr/>
      </xdr:nvSpPr>
      <xdr:spPr bwMode="auto">
        <a:xfrm>
          <a:off x="2651611" y="19701781"/>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2636371</xdr:colOff>
      <xdr:row>67</xdr:row>
      <xdr:rowOff>9524</xdr:rowOff>
    </xdr:from>
    <xdr:to>
      <xdr:col>15</xdr:col>
      <xdr:colOff>281029</xdr:colOff>
      <xdr:row>67</xdr:row>
      <xdr:rowOff>302132</xdr:rowOff>
    </xdr:to>
    <xdr:sp macro="[0]!btnMinus" textlink="">
      <xdr:nvSpPr>
        <xdr:cNvPr id="286" name="btnMinus_Dec1">
          <a:extLst>
            <a:ext uri="{FF2B5EF4-FFF2-40B4-BE49-F238E27FC236}">
              <a16:creationId xmlns:a16="http://schemas.microsoft.com/office/drawing/2014/main" id="{00000000-0008-0000-1300-00001E010000}"/>
            </a:ext>
          </a:extLst>
        </xdr:cNvPr>
        <xdr:cNvSpPr/>
      </xdr:nvSpPr>
      <xdr:spPr bwMode="auto">
        <a:xfrm>
          <a:off x="5601640" y="19701781"/>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2636371</xdr:colOff>
      <xdr:row>53</xdr:row>
      <xdr:rowOff>9524</xdr:rowOff>
    </xdr:from>
    <xdr:to>
      <xdr:col>11</xdr:col>
      <xdr:colOff>281029</xdr:colOff>
      <xdr:row>53</xdr:row>
      <xdr:rowOff>302132</xdr:rowOff>
    </xdr:to>
    <xdr:sp macro="[0]!btnMinus" textlink="">
      <xdr:nvSpPr>
        <xdr:cNvPr id="293" name="btnMinus_Dec1">
          <a:extLst>
            <a:ext uri="{FF2B5EF4-FFF2-40B4-BE49-F238E27FC236}">
              <a16:creationId xmlns:a16="http://schemas.microsoft.com/office/drawing/2014/main" id="{00000000-0008-0000-1300-000025010000}"/>
            </a:ext>
          </a:extLst>
        </xdr:cNvPr>
        <xdr:cNvSpPr/>
      </xdr:nvSpPr>
      <xdr:spPr bwMode="auto">
        <a:xfrm>
          <a:off x="10917134" y="19386095"/>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2636371</xdr:colOff>
      <xdr:row>53</xdr:row>
      <xdr:rowOff>9524</xdr:rowOff>
    </xdr:from>
    <xdr:to>
      <xdr:col>15</xdr:col>
      <xdr:colOff>281029</xdr:colOff>
      <xdr:row>53</xdr:row>
      <xdr:rowOff>302132</xdr:rowOff>
    </xdr:to>
    <xdr:sp macro="[0]!btnMinus" textlink="">
      <xdr:nvSpPr>
        <xdr:cNvPr id="294" name="btnMinus_Dec1">
          <a:extLst>
            <a:ext uri="{FF2B5EF4-FFF2-40B4-BE49-F238E27FC236}">
              <a16:creationId xmlns:a16="http://schemas.microsoft.com/office/drawing/2014/main" id="{00000000-0008-0000-1300-000026010000}"/>
            </a:ext>
          </a:extLst>
        </xdr:cNvPr>
        <xdr:cNvSpPr/>
      </xdr:nvSpPr>
      <xdr:spPr bwMode="auto">
        <a:xfrm>
          <a:off x="14016297" y="19386095"/>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75489</xdr:colOff>
      <xdr:row>11</xdr:row>
      <xdr:rowOff>102470</xdr:rowOff>
    </xdr:from>
    <xdr:to>
      <xdr:col>10</xdr:col>
      <xdr:colOff>1587515</xdr:colOff>
      <xdr:row>11</xdr:row>
      <xdr:rowOff>661669</xdr:rowOff>
    </xdr:to>
    <xdr:sp macro="[0]!NavButtons" textlink="">
      <xdr:nvSpPr>
        <xdr:cNvPr id="298" name="NavOps2">
          <a:extLst>
            <a:ext uri="{FF2B5EF4-FFF2-40B4-BE49-F238E27FC236}">
              <a16:creationId xmlns:a16="http://schemas.microsoft.com/office/drawing/2014/main" id="{00000000-0008-0000-1300-00002A010000}"/>
            </a:ext>
          </a:extLst>
        </xdr:cNvPr>
        <xdr:cNvSpPr/>
      </xdr:nvSpPr>
      <xdr:spPr bwMode="auto">
        <a:xfrm>
          <a:off x="8030769" y="2959970"/>
          <a:ext cx="2091146" cy="559199"/>
        </a:xfrm>
        <a:prstGeom prst="rect">
          <a:avLst/>
        </a:prstGeom>
        <a:solidFill>
          <a:srgbClr val="0078D7"/>
        </a:solidFill>
        <a:ln>
          <a:solidFill>
            <a:srgbClr val="0078D7"/>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Infrastructure</a:t>
          </a:r>
        </a:p>
      </xdr:txBody>
    </xdr:sp>
    <xdr:clientData/>
  </xdr:twoCellAnchor>
  <xdr:twoCellAnchor>
    <xdr:from>
      <xdr:col>15</xdr:col>
      <xdr:colOff>0</xdr:colOff>
      <xdr:row>65</xdr:row>
      <xdr:rowOff>0</xdr:rowOff>
    </xdr:from>
    <xdr:to>
      <xdr:col>15</xdr:col>
      <xdr:colOff>289887</xdr:colOff>
      <xdr:row>65</xdr:row>
      <xdr:rowOff>303494</xdr:rowOff>
    </xdr:to>
    <xdr:sp macro="[0]!btnMinus" textlink="">
      <xdr:nvSpPr>
        <xdr:cNvPr id="299" name="btnMinus_Dec128">
          <a:extLst>
            <a:ext uri="{FF2B5EF4-FFF2-40B4-BE49-F238E27FC236}">
              <a16:creationId xmlns:a16="http://schemas.microsoft.com/office/drawing/2014/main" id="{00000000-0008-0000-1300-00002B010000}"/>
            </a:ext>
          </a:extLst>
        </xdr:cNvPr>
        <xdr:cNvSpPr/>
      </xdr:nvSpPr>
      <xdr:spPr bwMode="auto">
        <a:xfrm>
          <a:off x="2933700" y="16550640"/>
          <a:ext cx="28988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224790</xdr:colOff>
      <xdr:row>7</xdr:row>
      <xdr:rowOff>110490</xdr:rowOff>
    </xdr:from>
    <xdr:to>
      <xdr:col>1</xdr:col>
      <xdr:colOff>875379</xdr:colOff>
      <xdr:row>10</xdr:row>
      <xdr:rowOff>261620</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224790" y="2186940"/>
          <a:ext cx="936339" cy="951230"/>
          <a:chOff x="64770" y="1492250"/>
          <a:chExt cx="690880" cy="690880"/>
        </a:xfrm>
      </xdr:grpSpPr>
      <xdr:sp macro="" textlink="">
        <xdr:nvSpPr>
          <xdr:cNvPr id="3" name="Oval 2">
            <a:extLst>
              <a:ext uri="{FF2B5EF4-FFF2-40B4-BE49-F238E27FC236}">
                <a16:creationId xmlns:a16="http://schemas.microsoft.com/office/drawing/2014/main" id="{00000000-0008-0000-1300-000003000000}"/>
              </a:ext>
            </a:extLst>
          </xdr:cNvPr>
          <xdr:cNvSpPr/>
        </xdr:nvSpPr>
        <xdr:spPr bwMode="auto">
          <a:xfrm>
            <a:off x="64770" y="1492250"/>
            <a:ext cx="690880" cy="690880"/>
          </a:xfrm>
          <a:prstGeom prst="ellipse">
            <a:avLst/>
          </a:prstGeom>
          <a:solidFill>
            <a:sysClr val="window" lastClr="FFFFFF"/>
          </a:solidFill>
          <a:ln w="19050">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l" defTabSz="932472" fontAlgn="base">
              <a:lnSpc>
                <a:spcPct val="90000"/>
              </a:lnSpc>
              <a:spcBef>
                <a:spcPct val="0"/>
              </a:spcBef>
              <a:spcAft>
                <a:spcPct val="0"/>
              </a:spcAft>
            </a:pPr>
            <a:endParaRPr lang="en-US" sz="2400" dirty="0" err="1">
              <a:gradFill>
                <a:gsLst>
                  <a:gs pos="0">
                    <a:srgbClr val="FFFFFF"/>
                  </a:gs>
                  <a:gs pos="100000">
                    <a:srgbClr val="FFFFFF"/>
                  </a:gs>
                </a:gsLst>
                <a:lin ang="5400000" scaled="0"/>
              </a:gradFill>
              <a:ea typeface="Segoe UI" pitchFamily="34" charset="0"/>
              <a:cs typeface="Segoe UI" pitchFamily="34" charset="0"/>
            </a:endParaRPr>
          </a:p>
        </xdr:txBody>
      </xdr:sp>
      <xdr:pic>
        <xdr:nvPicPr>
          <xdr:cNvPr id="91" name="Picture 90" descr="Image result for cog and wheel icon">
            <a:extLst>
              <a:ext uri="{FF2B5EF4-FFF2-40B4-BE49-F238E27FC236}">
                <a16:creationId xmlns:a16="http://schemas.microsoft.com/office/drawing/2014/main" id="{00000000-0008-0000-1300-00005B00000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13360" y="1574801"/>
            <a:ext cx="408733" cy="5181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0</xdr:colOff>
      <xdr:row>14</xdr:row>
      <xdr:rowOff>133350</xdr:rowOff>
    </xdr:from>
    <xdr:to>
      <xdr:col>19</xdr:col>
      <xdr:colOff>628650</xdr:colOff>
      <xdr:row>27</xdr:row>
      <xdr:rowOff>323850</xdr:rowOff>
    </xdr:to>
    <xdr:graphicFrame macro="">
      <xdr:nvGraphicFramePr>
        <xdr:cNvPr id="100" name="Chart 99">
          <a:extLst>
            <a:ext uri="{FF2B5EF4-FFF2-40B4-BE49-F238E27FC236}">
              <a16:creationId xmlns:a16="http://schemas.microsoft.com/office/drawing/2014/main" id="{00000000-0008-0000-13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19050</xdr:colOff>
      <xdr:row>33</xdr:row>
      <xdr:rowOff>361950</xdr:rowOff>
    </xdr:from>
    <xdr:to>
      <xdr:col>19</xdr:col>
      <xdr:colOff>869950</xdr:colOff>
      <xdr:row>42</xdr:row>
      <xdr:rowOff>76200</xdr:rowOff>
    </xdr:to>
    <xdr:graphicFrame macro="">
      <xdr:nvGraphicFramePr>
        <xdr:cNvPr id="103" name="Chart 102">
          <a:extLst>
            <a:ext uri="{FF2B5EF4-FFF2-40B4-BE49-F238E27FC236}">
              <a16:creationId xmlns:a16="http://schemas.microsoft.com/office/drawing/2014/main" id="{00000000-0008-0000-13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25400</xdr:colOff>
      <xdr:row>17</xdr:row>
      <xdr:rowOff>101600</xdr:rowOff>
    </xdr:from>
    <xdr:to>
      <xdr:col>0</xdr:col>
      <xdr:colOff>226568</xdr:colOff>
      <xdr:row>17</xdr:row>
      <xdr:rowOff>302768</xdr:rowOff>
    </xdr:to>
    <xdr:sp macro="[0]!InfoButton_Click" textlink="">
      <xdr:nvSpPr>
        <xdr:cNvPr id="68" name="btnInfo10">
          <a:extLst>
            <a:ext uri="{FF2B5EF4-FFF2-40B4-BE49-F238E27FC236}">
              <a16:creationId xmlns:a16="http://schemas.microsoft.com/office/drawing/2014/main" id="{00000000-0008-0000-1300-000044000000}"/>
            </a:ext>
          </a:extLst>
        </xdr:cNvPr>
        <xdr:cNvSpPr/>
      </xdr:nvSpPr>
      <xdr:spPr>
        <a:xfrm>
          <a:off x="25400" y="58039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25400</xdr:colOff>
      <xdr:row>23</xdr:row>
      <xdr:rowOff>101600</xdr:rowOff>
    </xdr:from>
    <xdr:to>
      <xdr:col>0</xdr:col>
      <xdr:colOff>226568</xdr:colOff>
      <xdr:row>23</xdr:row>
      <xdr:rowOff>302768</xdr:rowOff>
    </xdr:to>
    <xdr:sp macro="[0]!InfoButton_Click" textlink="">
      <xdr:nvSpPr>
        <xdr:cNvPr id="69" name="btnInfo11">
          <a:extLst>
            <a:ext uri="{FF2B5EF4-FFF2-40B4-BE49-F238E27FC236}">
              <a16:creationId xmlns:a16="http://schemas.microsoft.com/office/drawing/2014/main" id="{00000000-0008-0000-1300-000045000000}"/>
            </a:ext>
          </a:extLst>
        </xdr:cNvPr>
        <xdr:cNvSpPr/>
      </xdr:nvSpPr>
      <xdr:spPr>
        <a:xfrm>
          <a:off x="25400" y="58039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25400</xdr:colOff>
      <xdr:row>26</xdr:row>
      <xdr:rowOff>101600</xdr:rowOff>
    </xdr:from>
    <xdr:to>
      <xdr:col>0</xdr:col>
      <xdr:colOff>226568</xdr:colOff>
      <xdr:row>26</xdr:row>
      <xdr:rowOff>302768</xdr:rowOff>
    </xdr:to>
    <xdr:sp macro="[0]!InfoButton_Click" textlink="">
      <xdr:nvSpPr>
        <xdr:cNvPr id="70" name="btnInfo12">
          <a:extLst>
            <a:ext uri="{FF2B5EF4-FFF2-40B4-BE49-F238E27FC236}">
              <a16:creationId xmlns:a16="http://schemas.microsoft.com/office/drawing/2014/main" id="{00000000-0008-0000-1300-000046000000}"/>
            </a:ext>
          </a:extLst>
        </xdr:cNvPr>
        <xdr:cNvSpPr/>
      </xdr:nvSpPr>
      <xdr:spPr>
        <a:xfrm>
          <a:off x="25400" y="58039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63500</xdr:colOff>
      <xdr:row>36</xdr:row>
      <xdr:rowOff>114300</xdr:rowOff>
    </xdr:from>
    <xdr:to>
      <xdr:col>0</xdr:col>
      <xdr:colOff>264668</xdr:colOff>
      <xdr:row>36</xdr:row>
      <xdr:rowOff>315468</xdr:rowOff>
    </xdr:to>
    <xdr:sp macro="[0]!InfoButton_Click" textlink="">
      <xdr:nvSpPr>
        <xdr:cNvPr id="71" name="btnInfo13">
          <a:extLst>
            <a:ext uri="{FF2B5EF4-FFF2-40B4-BE49-F238E27FC236}">
              <a16:creationId xmlns:a16="http://schemas.microsoft.com/office/drawing/2014/main" id="{00000000-0008-0000-1300-000047000000}"/>
            </a:ext>
          </a:extLst>
        </xdr:cNvPr>
        <xdr:cNvSpPr/>
      </xdr:nvSpPr>
      <xdr:spPr>
        <a:xfrm>
          <a:off x="63500" y="62484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9</xdr:col>
      <xdr:colOff>38100</xdr:colOff>
      <xdr:row>50</xdr:row>
      <xdr:rowOff>63500</xdr:rowOff>
    </xdr:from>
    <xdr:to>
      <xdr:col>9</xdr:col>
      <xdr:colOff>239268</xdr:colOff>
      <xdr:row>50</xdr:row>
      <xdr:rowOff>264668</xdr:rowOff>
    </xdr:to>
    <xdr:sp macro="[0]!InfoButton_Click" textlink="">
      <xdr:nvSpPr>
        <xdr:cNvPr id="72" name="btnInfo14">
          <a:extLst>
            <a:ext uri="{FF2B5EF4-FFF2-40B4-BE49-F238E27FC236}">
              <a16:creationId xmlns:a16="http://schemas.microsoft.com/office/drawing/2014/main" id="{00000000-0008-0000-1300-000048000000}"/>
            </a:ext>
          </a:extLst>
        </xdr:cNvPr>
        <xdr:cNvSpPr/>
      </xdr:nvSpPr>
      <xdr:spPr>
        <a:xfrm>
          <a:off x="8305800" y="55372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xdr:col>
      <xdr:colOff>1739900</xdr:colOff>
      <xdr:row>56</xdr:row>
      <xdr:rowOff>50800</xdr:rowOff>
    </xdr:from>
    <xdr:to>
      <xdr:col>1</xdr:col>
      <xdr:colOff>1941068</xdr:colOff>
      <xdr:row>56</xdr:row>
      <xdr:rowOff>251968</xdr:rowOff>
    </xdr:to>
    <xdr:sp macro="[0]!InfoButton_Click" textlink="">
      <xdr:nvSpPr>
        <xdr:cNvPr id="73" name="btnInfo15">
          <a:extLst>
            <a:ext uri="{FF2B5EF4-FFF2-40B4-BE49-F238E27FC236}">
              <a16:creationId xmlns:a16="http://schemas.microsoft.com/office/drawing/2014/main" id="{00000000-0008-0000-1300-000049000000}"/>
            </a:ext>
          </a:extLst>
        </xdr:cNvPr>
        <xdr:cNvSpPr/>
      </xdr:nvSpPr>
      <xdr:spPr>
        <a:xfrm>
          <a:off x="2032000" y="74295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xdr:col>
      <xdr:colOff>1739900</xdr:colOff>
      <xdr:row>63</xdr:row>
      <xdr:rowOff>63500</xdr:rowOff>
    </xdr:from>
    <xdr:to>
      <xdr:col>1</xdr:col>
      <xdr:colOff>1941068</xdr:colOff>
      <xdr:row>63</xdr:row>
      <xdr:rowOff>264668</xdr:rowOff>
    </xdr:to>
    <xdr:sp macro="[0]!InfoButton_Click" textlink="">
      <xdr:nvSpPr>
        <xdr:cNvPr id="75" name="btnInfo16">
          <a:extLst>
            <a:ext uri="{FF2B5EF4-FFF2-40B4-BE49-F238E27FC236}">
              <a16:creationId xmlns:a16="http://schemas.microsoft.com/office/drawing/2014/main" id="{00000000-0008-0000-1300-00004B000000}"/>
            </a:ext>
          </a:extLst>
        </xdr:cNvPr>
        <xdr:cNvSpPr/>
      </xdr:nvSpPr>
      <xdr:spPr>
        <a:xfrm>
          <a:off x="2032000" y="9664700"/>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10</xdr:col>
      <xdr:colOff>0</xdr:colOff>
      <xdr:row>10</xdr:row>
      <xdr:rowOff>0</xdr:rowOff>
    </xdr:from>
    <xdr:to>
      <xdr:col>11</xdr:col>
      <xdr:colOff>12700</xdr:colOff>
      <xdr:row>10</xdr:row>
      <xdr:rowOff>1562100</xdr:rowOff>
    </xdr:to>
    <xdr:graphicFrame macro="">
      <xdr:nvGraphicFramePr>
        <xdr:cNvPr id="79" name="Chart 78">
          <a:extLst>
            <a:ext uri="{FF2B5EF4-FFF2-40B4-BE49-F238E27FC236}">
              <a16:creationId xmlns:a16="http://schemas.microsoft.com/office/drawing/2014/main" id="{00000000-0008-0000-13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0</xdr:rowOff>
    </xdr:from>
    <xdr:to>
      <xdr:col>14</xdr:col>
      <xdr:colOff>12700</xdr:colOff>
      <xdr:row>10</xdr:row>
      <xdr:rowOff>1562100</xdr:rowOff>
    </xdr:to>
    <xdr:graphicFrame macro="">
      <xdr:nvGraphicFramePr>
        <xdr:cNvPr id="81" name="Chart 80">
          <a:extLst>
            <a:ext uri="{FF2B5EF4-FFF2-40B4-BE49-F238E27FC236}">
              <a16:creationId xmlns:a16="http://schemas.microsoft.com/office/drawing/2014/main" id="{00000000-0008-0000-13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10</xdr:row>
      <xdr:rowOff>0</xdr:rowOff>
    </xdr:from>
    <xdr:to>
      <xdr:col>17</xdr:col>
      <xdr:colOff>12700</xdr:colOff>
      <xdr:row>10</xdr:row>
      <xdr:rowOff>1562100</xdr:rowOff>
    </xdr:to>
    <xdr:graphicFrame macro="">
      <xdr:nvGraphicFramePr>
        <xdr:cNvPr id="82" name="Chart 81">
          <a:extLst>
            <a:ext uri="{FF2B5EF4-FFF2-40B4-BE49-F238E27FC236}">
              <a16:creationId xmlns:a16="http://schemas.microsoft.com/office/drawing/2014/main" id="{00000000-0008-0000-13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0</xdr:colOff>
      <xdr:row>10</xdr:row>
      <xdr:rowOff>0</xdr:rowOff>
    </xdr:from>
    <xdr:to>
      <xdr:col>20</xdr:col>
      <xdr:colOff>12700</xdr:colOff>
      <xdr:row>10</xdr:row>
      <xdr:rowOff>1562100</xdr:rowOff>
    </xdr:to>
    <xdr:graphicFrame macro="">
      <xdr:nvGraphicFramePr>
        <xdr:cNvPr id="83" name="Chart 82">
          <a:extLst>
            <a:ext uri="{FF2B5EF4-FFF2-40B4-BE49-F238E27FC236}">
              <a16:creationId xmlns:a16="http://schemas.microsoft.com/office/drawing/2014/main" id="{00000000-0008-0000-13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68940</xdr:colOff>
      <xdr:row>0</xdr:row>
      <xdr:rowOff>43544</xdr:rowOff>
    </xdr:from>
    <xdr:to>
      <xdr:col>11</xdr:col>
      <xdr:colOff>146954</xdr:colOff>
      <xdr:row>0</xdr:row>
      <xdr:rowOff>471369</xdr:rowOff>
    </xdr:to>
    <xdr:sp macro="" textlink="">
      <xdr:nvSpPr>
        <xdr:cNvPr id="63" name="Rectangle 62">
          <a:extLst>
            <a:ext uri="{FF2B5EF4-FFF2-40B4-BE49-F238E27FC236}">
              <a16:creationId xmlns:a16="http://schemas.microsoft.com/office/drawing/2014/main" id="{00000000-0008-0000-1300-00003F000000}"/>
            </a:ext>
          </a:extLst>
        </xdr:cNvPr>
        <xdr:cNvSpPr/>
      </xdr:nvSpPr>
      <xdr:spPr bwMode="auto">
        <a:xfrm>
          <a:off x="8635997" y="43544"/>
          <a:ext cx="2298700"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1"/>
              </a:solidFill>
              <a:ea typeface="Segoe UI" pitchFamily="34" charset="0"/>
              <a:cs typeface="Segoe UI" pitchFamily="34" charset="0"/>
            </a:rPr>
            <a:t>Dashboard Tutorial</a:t>
          </a:r>
        </a:p>
      </xdr:txBody>
    </xdr:sp>
    <xdr:clientData/>
  </xdr:twoCellAnchor>
  <xdr:twoCellAnchor>
    <xdr:from>
      <xdr:col>9</xdr:col>
      <xdr:colOff>185054</xdr:colOff>
      <xdr:row>0</xdr:row>
      <xdr:rowOff>107044</xdr:rowOff>
    </xdr:from>
    <xdr:to>
      <xdr:col>10</xdr:col>
      <xdr:colOff>157840</xdr:colOff>
      <xdr:row>0</xdr:row>
      <xdr:rowOff>377071</xdr:rowOff>
    </xdr:to>
    <xdr:pic macro="[0]!ShowTutorial">
      <xdr:nvPicPr>
        <xdr:cNvPr id="64" name="btnTutorial1" descr="Image result for video icon">
          <a:extLst>
            <a:ext uri="{FF2B5EF4-FFF2-40B4-BE49-F238E27FC236}">
              <a16:creationId xmlns:a16="http://schemas.microsoft.com/office/drawing/2014/main" id="{00000000-0008-0000-1300-000040000000}"/>
            </a:ext>
          </a:extLst>
        </xdr:cNvPr>
        <xdr:cNvPicPr>
          <a:picLocks noChangeAspect="1" noChangeArrowheads="1"/>
        </xdr:cNvPicPr>
      </xdr:nvPicPr>
      <xdr:blipFill>
        <a:blip xmlns:r="http://schemas.openxmlformats.org/officeDocument/2006/relationships" r:embed="rId10"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458197" y="107044"/>
          <a:ext cx="266700"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66297</xdr:colOff>
      <xdr:row>0</xdr:row>
      <xdr:rowOff>43544</xdr:rowOff>
    </xdr:from>
    <xdr:to>
      <xdr:col>16</xdr:col>
      <xdr:colOff>511627</xdr:colOff>
      <xdr:row>0</xdr:row>
      <xdr:rowOff>471369</xdr:rowOff>
    </xdr:to>
    <xdr:sp macro="" textlink="">
      <xdr:nvSpPr>
        <xdr:cNvPr id="65" name="Rectangle 64">
          <a:extLst>
            <a:ext uri="{FF2B5EF4-FFF2-40B4-BE49-F238E27FC236}">
              <a16:creationId xmlns:a16="http://schemas.microsoft.com/office/drawing/2014/main" id="{00000000-0008-0000-1300-000041000000}"/>
            </a:ext>
          </a:extLst>
        </xdr:cNvPr>
        <xdr:cNvSpPr/>
      </xdr:nvSpPr>
      <xdr:spPr bwMode="auto">
        <a:xfrm>
          <a:off x="11137068" y="43544"/>
          <a:ext cx="3547759"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1"/>
              </a:solidFill>
              <a:ea typeface="Segoe UI" pitchFamily="34" charset="0"/>
              <a:cs typeface="Segoe UI" pitchFamily="34" charset="0"/>
            </a:rPr>
            <a:t>Operations &amp; Marketing Tutorial</a:t>
          </a:r>
        </a:p>
      </xdr:txBody>
    </xdr:sp>
    <xdr:clientData/>
  </xdr:twoCellAnchor>
  <xdr:twoCellAnchor>
    <xdr:from>
      <xdr:col>11</xdr:col>
      <xdr:colOff>156024</xdr:colOff>
      <xdr:row>0</xdr:row>
      <xdr:rowOff>107044</xdr:rowOff>
    </xdr:from>
    <xdr:to>
      <xdr:col>12</xdr:col>
      <xdr:colOff>155327</xdr:colOff>
      <xdr:row>0</xdr:row>
      <xdr:rowOff>377071</xdr:rowOff>
    </xdr:to>
    <xdr:pic macro="[0]!ShowTutorial">
      <xdr:nvPicPr>
        <xdr:cNvPr id="66" name="btnTutorial2" descr="Image result for video icon">
          <a:extLst>
            <a:ext uri="{FF2B5EF4-FFF2-40B4-BE49-F238E27FC236}">
              <a16:creationId xmlns:a16="http://schemas.microsoft.com/office/drawing/2014/main" id="{00000000-0008-0000-1300-000042000000}"/>
            </a:ext>
          </a:extLst>
        </xdr:cNvPr>
        <xdr:cNvPicPr>
          <a:picLocks noChangeAspect="1" noChangeArrowheads="1"/>
        </xdr:cNvPicPr>
      </xdr:nvPicPr>
      <xdr:blipFill>
        <a:blip xmlns:r="http://schemas.openxmlformats.org/officeDocument/2006/relationships" r:embed="rId11"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943767" y="107044"/>
          <a:ext cx="282331"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36738</xdr:colOff>
      <xdr:row>20</xdr:row>
      <xdr:rowOff>22712</xdr:rowOff>
    </xdr:from>
    <xdr:to>
      <xdr:col>6</xdr:col>
      <xdr:colOff>39786</xdr:colOff>
      <xdr:row>20</xdr:row>
      <xdr:rowOff>315320</xdr:rowOff>
    </xdr:to>
    <xdr:sp macro="[0]!btnPlus" textlink="">
      <xdr:nvSpPr>
        <xdr:cNvPr id="67" name="btnPlus_Dec139">
          <a:extLst>
            <a:ext uri="{FF2B5EF4-FFF2-40B4-BE49-F238E27FC236}">
              <a16:creationId xmlns:a16="http://schemas.microsoft.com/office/drawing/2014/main" id="{00000000-0008-0000-1300-000043000000}"/>
            </a:ext>
          </a:extLst>
        </xdr:cNvPr>
        <xdr:cNvSpPr/>
      </xdr:nvSpPr>
      <xdr:spPr bwMode="auto">
        <a:xfrm>
          <a:off x="5189763" y="6223487"/>
          <a:ext cx="288798" cy="292608"/>
        </a:xfrm>
        <a:prstGeom prst="mathPl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2636371</xdr:colOff>
      <xdr:row>20</xdr:row>
      <xdr:rowOff>9524</xdr:rowOff>
    </xdr:from>
    <xdr:to>
      <xdr:col>3</xdr:col>
      <xdr:colOff>281029</xdr:colOff>
      <xdr:row>20</xdr:row>
      <xdr:rowOff>302132</xdr:rowOff>
    </xdr:to>
    <xdr:sp macro="[0]!btnMinus" textlink="">
      <xdr:nvSpPr>
        <xdr:cNvPr id="74" name="btnMinus_Dec1">
          <a:extLst>
            <a:ext uri="{FF2B5EF4-FFF2-40B4-BE49-F238E27FC236}">
              <a16:creationId xmlns:a16="http://schemas.microsoft.com/office/drawing/2014/main" id="{00000000-0008-0000-1300-00004A000000}"/>
            </a:ext>
          </a:extLst>
        </xdr:cNvPr>
        <xdr:cNvSpPr/>
      </xdr:nvSpPr>
      <xdr:spPr bwMode="auto">
        <a:xfrm>
          <a:off x="2937361" y="6210299"/>
          <a:ext cx="0" cy="292608"/>
        </a:xfrm>
        <a:prstGeom prst="mathMinus">
          <a:avLst/>
        </a:prstGeom>
        <a:solidFill>
          <a:schemeClr val="bg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0</xdr:colOff>
      <xdr:row>20</xdr:row>
      <xdr:rowOff>22860</xdr:rowOff>
    </xdr:from>
    <xdr:to>
      <xdr:col>4</xdr:col>
      <xdr:colOff>327</xdr:colOff>
      <xdr:row>20</xdr:row>
      <xdr:rowOff>326354</xdr:rowOff>
    </xdr:to>
    <xdr:sp macro="[0]!btnMinus" textlink="">
      <xdr:nvSpPr>
        <xdr:cNvPr id="76" name="btnMinus_Dec139">
          <a:extLst>
            <a:ext uri="{FF2B5EF4-FFF2-40B4-BE49-F238E27FC236}">
              <a16:creationId xmlns:a16="http://schemas.microsoft.com/office/drawing/2014/main" id="{00000000-0008-0000-1300-00004C000000}"/>
            </a:ext>
          </a:extLst>
        </xdr:cNvPr>
        <xdr:cNvSpPr/>
      </xdr:nvSpPr>
      <xdr:spPr bwMode="auto">
        <a:xfrm>
          <a:off x="2647950" y="6223635"/>
          <a:ext cx="286077" cy="303494"/>
        </a:xfrm>
        <a:prstGeom prst="mathMinus">
          <a:avLst/>
        </a:prstGeom>
        <a:solidFill>
          <a:schemeClr val="accent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25400</xdr:colOff>
      <xdr:row>20</xdr:row>
      <xdr:rowOff>101600</xdr:rowOff>
    </xdr:from>
    <xdr:to>
      <xdr:col>0</xdr:col>
      <xdr:colOff>226568</xdr:colOff>
      <xdr:row>20</xdr:row>
      <xdr:rowOff>302768</xdr:rowOff>
    </xdr:to>
    <xdr:sp macro="[0]!InfoButton_Click" textlink="">
      <xdr:nvSpPr>
        <xdr:cNvPr id="77" name="btnInfo40">
          <a:extLst>
            <a:ext uri="{FF2B5EF4-FFF2-40B4-BE49-F238E27FC236}">
              <a16:creationId xmlns:a16="http://schemas.microsoft.com/office/drawing/2014/main" id="{00000000-0008-0000-1300-00004D000000}"/>
            </a:ext>
          </a:extLst>
        </xdr:cNvPr>
        <xdr:cNvSpPr/>
      </xdr:nvSpPr>
      <xdr:spPr>
        <a:xfrm>
          <a:off x="25400" y="6302375"/>
          <a:ext cx="201168" cy="201168"/>
        </a:xfrm>
        <a:prstGeom prst="ellipse">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1578088</xdr:colOff>
      <xdr:row>0</xdr:row>
      <xdr:rowOff>0</xdr:rowOff>
    </xdr:from>
    <xdr:to>
      <xdr:col>7</xdr:col>
      <xdr:colOff>633730</xdr:colOff>
      <xdr:row>0</xdr:row>
      <xdr:rowOff>440789</xdr:rowOff>
    </xdr:to>
    <xdr:grpSp>
      <xdr:nvGrpSpPr>
        <xdr:cNvPr id="6" name="Group 5">
          <a:extLst>
            <a:ext uri="{FF2B5EF4-FFF2-40B4-BE49-F238E27FC236}">
              <a16:creationId xmlns:a16="http://schemas.microsoft.com/office/drawing/2014/main" id="{00000000-0008-0000-1400-000006000000}"/>
            </a:ext>
          </a:extLst>
        </xdr:cNvPr>
        <xdr:cNvGrpSpPr/>
      </xdr:nvGrpSpPr>
      <xdr:grpSpPr>
        <a:xfrm>
          <a:off x="7162459" y="0"/>
          <a:ext cx="1570242" cy="440789"/>
          <a:chOff x="15557698" y="121920"/>
          <a:chExt cx="2026919" cy="518160"/>
        </a:xfrm>
      </xdr:grpSpPr>
      <xdr:pic macro="[0]!ToolSave">
        <xdr:nvPicPr>
          <xdr:cNvPr id="7" name="Picture 6" descr="Image result for usb icon">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5560040" y="121920"/>
            <a:ext cx="511053" cy="518160"/>
          </a:xfrm>
          <a:prstGeom prst="rect">
            <a:avLst/>
          </a:prstGeom>
          <a:noFill/>
          <a:extLst>
            <a:ext uri="{909E8E84-426E-40DD-AFC4-6F175D3DCCD1}">
              <a14:hiddenFill xmlns:a14="http://schemas.microsoft.com/office/drawing/2010/main">
                <a:solidFill>
                  <a:srgbClr val="FFFFFF"/>
                </a:solidFill>
              </a14:hiddenFill>
            </a:ext>
          </a:extLst>
        </xdr:spPr>
      </xdr:pic>
      <xdr:sp macro="[0]!ToolSave" textlink="">
        <xdr:nvSpPr>
          <xdr:cNvPr id="8" name="Rectangle 7">
            <a:extLst>
              <a:ext uri="{FF2B5EF4-FFF2-40B4-BE49-F238E27FC236}">
                <a16:creationId xmlns:a16="http://schemas.microsoft.com/office/drawing/2014/main" id="{00000000-0008-0000-1400-000008000000}"/>
              </a:ext>
            </a:extLst>
          </xdr:cNvPr>
          <xdr:cNvSpPr/>
        </xdr:nvSpPr>
        <xdr:spPr bwMode="auto">
          <a:xfrm>
            <a:off x="15557698" y="129008"/>
            <a:ext cx="2026919"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Save</a:t>
            </a:r>
          </a:p>
        </xdr:txBody>
      </xdr:sp>
    </xdr:grpSp>
    <xdr:clientData/>
  </xdr:twoCellAnchor>
  <xdr:twoCellAnchor>
    <xdr:from>
      <xdr:col>4</xdr:col>
      <xdr:colOff>216650</xdr:colOff>
      <xdr:row>0</xdr:row>
      <xdr:rowOff>0</xdr:rowOff>
    </xdr:from>
    <xdr:to>
      <xdr:col>5</xdr:col>
      <xdr:colOff>1836419</xdr:colOff>
      <xdr:row>0</xdr:row>
      <xdr:rowOff>441959</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5507107" y="0"/>
          <a:ext cx="1913683" cy="441959"/>
          <a:chOff x="22478480" y="1173480"/>
          <a:chExt cx="1905519" cy="502919"/>
        </a:xfrm>
      </xdr:grpSpPr>
      <xdr:grpSp>
        <xdr:nvGrpSpPr>
          <xdr:cNvPr id="25" name="Group 24">
            <a:extLst>
              <a:ext uri="{FF2B5EF4-FFF2-40B4-BE49-F238E27FC236}">
                <a16:creationId xmlns:a16="http://schemas.microsoft.com/office/drawing/2014/main" id="{00000000-0008-0000-1400-000019000000}"/>
              </a:ext>
            </a:extLst>
          </xdr:cNvPr>
          <xdr:cNvGrpSpPr/>
        </xdr:nvGrpSpPr>
        <xdr:grpSpPr>
          <a:xfrm>
            <a:off x="22538576" y="1173480"/>
            <a:ext cx="1611744" cy="453390"/>
            <a:chOff x="9448686" y="91440"/>
            <a:chExt cx="2057514" cy="502920"/>
          </a:xfrm>
        </xdr:grpSpPr>
        <xdr:sp macro="" textlink="">
          <xdr:nvSpPr>
            <xdr:cNvPr id="27" name="Rectangle 26">
              <a:extLst>
                <a:ext uri="{FF2B5EF4-FFF2-40B4-BE49-F238E27FC236}">
                  <a16:creationId xmlns:a16="http://schemas.microsoft.com/office/drawing/2014/main" id="{00000000-0008-0000-1400-00001B000000}"/>
                </a:ext>
              </a:extLst>
            </xdr:cNvPr>
            <xdr:cNvSpPr/>
          </xdr:nvSpPr>
          <xdr:spPr bwMode="auto">
            <a:xfrm>
              <a:off x="9479280" y="91440"/>
              <a:ext cx="2026920"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Navigation</a:t>
              </a:r>
            </a:p>
          </xdr:txBody>
        </xdr:sp>
        <xdr:pic>
          <xdr:nvPicPr>
            <xdr:cNvPr id="28" name="Picture 27" descr="Image result for gps icon">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2"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9448686" y="182880"/>
              <a:ext cx="365873" cy="374296"/>
            </a:xfrm>
            <a:prstGeom prst="rect">
              <a:avLst/>
            </a:prstGeom>
            <a:noFill/>
            <a:extLst>
              <a:ext uri="{909E8E84-426E-40DD-AFC4-6F175D3DCCD1}">
                <a14:hiddenFill xmlns:a14="http://schemas.microsoft.com/office/drawing/2010/main">
                  <a:solidFill>
                    <a:srgbClr val="FFFFFF"/>
                  </a:solidFill>
                </a14:hiddenFill>
              </a:ext>
            </a:extLst>
          </xdr:spPr>
        </xdr:pic>
      </xdr:grpSp>
      <xdr:sp macro="[0]!ShowNavigation" textlink="">
        <xdr:nvSpPr>
          <xdr:cNvPr id="26" name="Rectangle 25">
            <a:extLst>
              <a:ext uri="{FF2B5EF4-FFF2-40B4-BE49-F238E27FC236}">
                <a16:creationId xmlns:a16="http://schemas.microsoft.com/office/drawing/2014/main" id="{00000000-0008-0000-1400-00001A000000}"/>
              </a:ext>
            </a:extLst>
          </xdr:cNvPr>
          <xdr:cNvSpPr/>
        </xdr:nvSpPr>
        <xdr:spPr bwMode="auto">
          <a:xfrm>
            <a:off x="22478480" y="1202591"/>
            <a:ext cx="1905519" cy="473808"/>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Navigation</a:t>
            </a:r>
          </a:p>
        </xdr:txBody>
      </xdr:sp>
    </xdr:grpSp>
    <xdr:clientData/>
  </xdr:twoCellAnchor>
  <xdr:twoCellAnchor>
    <xdr:from>
      <xdr:col>0</xdr:col>
      <xdr:colOff>76200</xdr:colOff>
      <xdr:row>8</xdr:row>
      <xdr:rowOff>19050</xdr:rowOff>
    </xdr:from>
    <xdr:to>
      <xdr:col>1</xdr:col>
      <xdr:colOff>472440</xdr:colOff>
      <xdr:row>10</xdr:row>
      <xdr:rowOff>52070</xdr:rowOff>
    </xdr:to>
    <xdr:grpSp>
      <xdr:nvGrpSpPr>
        <xdr:cNvPr id="3" name="Group 2">
          <a:extLst>
            <a:ext uri="{FF2B5EF4-FFF2-40B4-BE49-F238E27FC236}">
              <a16:creationId xmlns:a16="http://schemas.microsoft.com/office/drawing/2014/main" id="{00000000-0008-0000-1400-000003000000}"/>
            </a:ext>
          </a:extLst>
        </xdr:cNvPr>
        <xdr:cNvGrpSpPr/>
      </xdr:nvGrpSpPr>
      <xdr:grpSpPr>
        <a:xfrm>
          <a:off x="76200" y="2403021"/>
          <a:ext cx="690154" cy="577306"/>
          <a:chOff x="76200" y="1484630"/>
          <a:chExt cx="688340" cy="688340"/>
        </a:xfrm>
      </xdr:grpSpPr>
      <xdr:sp macro="" textlink="">
        <xdr:nvSpPr>
          <xdr:cNvPr id="30" name="Oval 29">
            <a:extLst>
              <a:ext uri="{FF2B5EF4-FFF2-40B4-BE49-F238E27FC236}">
                <a16:creationId xmlns:a16="http://schemas.microsoft.com/office/drawing/2014/main" id="{00000000-0008-0000-1400-00001E000000}"/>
              </a:ext>
            </a:extLst>
          </xdr:cNvPr>
          <xdr:cNvSpPr/>
        </xdr:nvSpPr>
        <xdr:spPr bwMode="auto">
          <a:xfrm>
            <a:off x="76200" y="1484630"/>
            <a:ext cx="688340" cy="688340"/>
          </a:xfrm>
          <a:prstGeom prst="ellipse">
            <a:avLst/>
          </a:prstGeom>
          <a:solidFill>
            <a:sysClr val="window" lastClr="FFFFFF"/>
          </a:solidFill>
          <a:ln w="19050">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l" defTabSz="932472" fontAlgn="base">
              <a:lnSpc>
                <a:spcPct val="90000"/>
              </a:lnSpc>
              <a:spcBef>
                <a:spcPct val="0"/>
              </a:spcBef>
              <a:spcAft>
                <a:spcPct val="0"/>
              </a:spcAft>
            </a:pPr>
            <a:endParaRPr lang="en-US" sz="2400" dirty="0" err="1">
              <a:solidFill>
                <a:schemeClr val="tx2"/>
              </a:solidFill>
              <a:ea typeface="Segoe UI" pitchFamily="34" charset="0"/>
              <a:cs typeface="Segoe UI" pitchFamily="34" charset="0"/>
            </a:endParaRPr>
          </a:p>
        </xdr:txBody>
      </xdr:sp>
      <xdr:pic>
        <xdr:nvPicPr>
          <xdr:cNvPr id="56" name="Picture 55" descr="Image result for buildings icon">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3"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10609" y="1593488"/>
            <a:ext cx="411810" cy="42233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3</xdr:col>
      <xdr:colOff>1967627</xdr:colOff>
      <xdr:row>15</xdr:row>
      <xdr:rowOff>213360</xdr:rowOff>
    </xdr:from>
    <xdr:to>
      <xdr:col>5</xdr:col>
      <xdr:colOff>1891427</xdr:colOff>
      <xdr:row>16</xdr:row>
      <xdr:rowOff>279400</xdr:rowOff>
    </xdr:to>
    <xdr:sp macro="[0]!btnLevel.btnLevel" textlink="">
      <xdr:nvSpPr>
        <xdr:cNvPr id="59" name="btnLevelS20B0">
          <a:extLst>
            <a:ext uri="{FF2B5EF4-FFF2-40B4-BE49-F238E27FC236}">
              <a16:creationId xmlns:a16="http://schemas.microsoft.com/office/drawing/2014/main" id="{00000000-0008-0000-1400-00003B000000}"/>
            </a:ext>
          </a:extLst>
        </xdr:cNvPr>
        <xdr:cNvSpPr/>
      </xdr:nvSpPr>
      <xdr:spPr bwMode="auto">
        <a:xfrm>
          <a:off x="5200684" y="5046617"/>
          <a:ext cx="2286000" cy="381726"/>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 Decrease</a:t>
          </a:r>
        </a:p>
      </xdr:txBody>
    </xdr:sp>
    <xdr:clientData/>
  </xdr:twoCellAnchor>
  <xdr:twoCellAnchor>
    <xdr:from>
      <xdr:col>5</xdr:col>
      <xdr:colOff>2188922</xdr:colOff>
      <xdr:row>15</xdr:row>
      <xdr:rowOff>213360</xdr:rowOff>
    </xdr:from>
    <xdr:to>
      <xdr:col>7</xdr:col>
      <xdr:colOff>1960322</xdr:colOff>
      <xdr:row>16</xdr:row>
      <xdr:rowOff>279400</xdr:rowOff>
    </xdr:to>
    <xdr:sp macro="[0]!btnLevel.btnLevel" textlink="">
      <xdr:nvSpPr>
        <xdr:cNvPr id="60" name="btnLevelS20B1">
          <a:extLst>
            <a:ext uri="{FF2B5EF4-FFF2-40B4-BE49-F238E27FC236}">
              <a16:creationId xmlns:a16="http://schemas.microsoft.com/office/drawing/2014/main" id="{00000000-0008-0000-1400-00003C000000}"/>
            </a:ext>
          </a:extLst>
        </xdr:cNvPr>
        <xdr:cNvSpPr/>
      </xdr:nvSpPr>
      <xdr:spPr bwMode="auto">
        <a:xfrm>
          <a:off x="7784179" y="5046617"/>
          <a:ext cx="2286000" cy="381726"/>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12</xdr:col>
      <xdr:colOff>54428</xdr:colOff>
      <xdr:row>15</xdr:row>
      <xdr:rowOff>202475</xdr:rowOff>
    </xdr:from>
    <xdr:to>
      <xdr:col>13</xdr:col>
      <xdr:colOff>2046514</xdr:colOff>
      <xdr:row>16</xdr:row>
      <xdr:rowOff>266701</xdr:rowOff>
    </xdr:to>
    <xdr:sp macro="[0]!btnLevel.btnLevel" textlink="">
      <xdr:nvSpPr>
        <xdr:cNvPr id="61" name="btnLevelS20B4">
          <a:extLst>
            <a:ext uri="{FF2B5EF4-FFF2-40B4-BE49-F238E27FC236}">
              <a16:creationId xmlns:a16="http://schemas.microsoft.com/office/drawing/2014/main" id="{00000000-0008-0000-1400-00003D000000}"/>
            </a:ext>
          </a:extLst>
        </xdr:cNvPr>
        <xdr:cNvSpPr/>
      </xdr:nvSpPr>
      <xdr:spPr bwMode="auto">
        <a:xfrm>
          <a:off x="15414171" y="5035732"/>
          <a:ext cx="2286000" cy="379912"/>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Increase</a:t>
          </a:r>
          <a:endPar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endParaRPr>
        </a:p>
      </xdr:txBody>
    </xdr:sp>
    <xdr:clientData/>
  </xdr:twoCellAnchor>
  <xdr:twoCellAnchor>
    <xdr:from>
      <xdr:col>4</xdr:col>
      <xdr:colOff>38644</xdr:colOff>
      <xdr:row>92</xdr:row>
      <xdr:rowOff>7473</xdr:rowOff>
    </xdr:from>
    <xdr:to>
      <xdr:col>5</xdr:col>
      <xdr:colOff>0</xdr:colOff>
      <xdr:row>92</xdr:row>
      <xdr:rowOff>300081</xdr:rowOff>
    </xdr:to>
    <xdr:sp macro="[0]!btnPlus" textlink="">
      <xdr:nvSpPr>
        <xdr:cNvPr id="98" name="btnPlus_Dec115">
          <a:extLst>
            <a:ext uri="{FF2B5EF4-FFF2-40B4-BE49-F238E27FC236}">
              <a16:creationId xmlns:a16="http://schemas.microsoft.com/office/drawing/2014/main" id="{00000000-0008-0000-1400-000062000000}"/>
            </a:ext>
          </a:extLst>
        </xdr:cNvPr>
        <xdr:cNvSpPr/>
      </xdr:nvSpPr>
      <xdr:spPr bwMode="auto">
        <a:xfrm>
          <a:off x="5339987" y="18894187"/>
          <a:ext cx="255270"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2636371</xdr:colOff>
      <xdr:row>92</xdr:row>
      <xdr:rowOff>24764</xdr:rowOff>
    </xdr:from>
    <xdr:to>
      <xdr:col>2</xdr:col>
      <xdr:colOff>281029</xdr:colOff>
      <xdr:row>93</xdr:row>
      <xdr:rowOff>12572</xdr:rowOff>
    </xdr:to>
    <xdr:sp macro="[0]!btnMinus" textlink="">
      <xdr:nvSpPr>
        <xdr:cNvPr id="99" name="btnMinus_Dec115">
          <a:extLst>
            <a:ext uri="{FF2B5EF4-FFF2-40B4-BE49-F238E27FC236}">
              <a16:creationId xmlns:a16="http://schemas.microsoft.com/office/drawing/2014/main" id="{00000000-0008-0000-1400-000063000000}"/>
            </a:ext>
          </a:extLst>
        </xdr:cNvPr>
        <xdr:cNvSpPr/>
      </xdr:nvSpPr>
      <xdr:spPr bwMode="auto">
        <a:xfrm>
          <a:off x="2930285" y="18911478"/>
          <a:ext cx="289887" cy="303494"/>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29119</xdr:colOff>
      <xdr:row>92</xdr:row>
      <xdr:rowOff>7473</xdr:rowOff>
    </xdr:from>
    <xdr:to>
      <xdr:col>9</xdr:col>
      <xdr:colOff>27722</xdr:colOff>
      <xdr:row>92</xdr:row>
      <xdr:rowOff>305796</xdr:rowOff>
    </xdr:to>
    <xdr:sp macro="[0]!btnPlus" textlink="">
      <xdr:nvSpPr>
        <xdr:cNvPr id="100" name="btnPlus_Dec116">
          <a:extLst>
            <a:ext uri="{FF2B5EF4-FFF2-40B4-BE49-F238E27FC236}">
              <a16:creationId xmlns:a16="http://schemas.microsoft.com/office/drawing/2014/main" id="{00000000-0008-0000-1400-000064000000}"/>
            </a:ext>
          </a:extLst>
        </xdr:cNvPr>
        <xdr:cNvSpPr/>
      </xdr:nvSpPr>
      <xdr:spPr bwMode="auto">
        <a:xfrm>
          <a:off x="12268744" y="13047198"/>
          <a:ext cx="284353" cy="29832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2202031</xdr:colOff>
      <xdr:row>92</xdr:row>
      <xdr:rowOff>24764</xdr:rowOff>
    </xdr:from>
    <xdr:to>
      <xdr:col>6</xdr:col>
      <xdr:colOff>235944</xdr:colOff>
      <xdr:row>92</xdr:row>
      <xdr:rowOff>309752</xdr:rowOff>
    </xdr:to>
    <xdr:sp macro="[0]!btnMinus" textlink="">
      <xdr:nvSpPr>
        <xdr:cNvPr id="101" name="btnMinus_Dec116">
          <a:extLst>
            <a:ext uri="{FF2B5EF4-FFF2-40B4-BE49-F238E27FC236}">
              <a16:creationId xmlns:a16="http://schemas.microsoft.com/office/drawing/2014/main" id="{00000000-0008-0000-1400-000065000000}"/>
            </a:ext>
          </a:extLst>
        </xdr:cNvPr>
        <xdr:cNvSpPr/>
      </xdr:nvSpPr>
      <xdr:spPr bwMode="auto">
        <a:xfrm>
          <a:off x="9717256" y="13064489"/>
          <a:ext cx="253238" cy="28498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13244</xdr:colOff>
      <xdr:row>92</xdr:row>
      <xdr:rowOff>51923</xdr:rowOff>
    </xdr:from>
    <xdr:to>
      <xdr:col>13</xdr:col>
      <xdr:colOff>11847</xdr:colOff>
      <xdr:row>93</xdr:row>
      <xdr:rowOff>35921</xdr:rowOff>
    </xdr:to>
    <xdr:sp macro="[0]!btnPlus" textlink="">
      <xdr:nvSpPr>
        <xdr:cNvPr id="102" name="btnPlus_Dec117">
          <a:extLst>
            <a:ext uri="{FF2B5EF4-FFF2-40B4-BE49-F238E27FC236}">
              <a16:creationId xmlns:a16="http://schemas.microsoft.com/office/drawing/2014/main" id="{00000000-0008-0000-1400-000066000000}"/>
            </a:ext>
          </a:extLst>
        </xdr:cNvPr>
        <xdr:cNvSpPr/>
      </xdr:nvSpPr>
      <xdr:spPr bwMode="auto">
        <a:xfrm>
          <a:off x="15367544" y="19051123"/>
          <a:ext cx="290703" cy="30149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2569696</xdr:colOff>
      <xdr:row>92</xdr:row>
      <xdr:rowOff>43814</xdr:rowOff>
    </xdr:from>
    <xdr:to>
      <xdr:col>10</xdr:col>
      <xdr:colOff>218164</xdr:colOff>
      <xdr:row>93</xdr:row>
      <xdr:rowOff>24002</xdr:rowOff>
    </xdr:to>
    <xdr:sp macro="[0]!btnMinus" textlink="">
      <xdr:nvSpPr>
        <xdr:cNvPr id="103" name="btnMinus_Dec117">
          <a:extLst>
            <a:ext uri="{FF2B5EF4-FFF2-40B4-BE49-F238E27FC236}">
              <a16:creationId xmlns:a16="http://schemas.microsoft.com/office/drawing/2014/main" id="{00000000-0008-0000-1400-000067000000}"/>
            </a:ext>
          </a:extLst>
        </xdr:cNvPr>
        <xdr:cNvSpPr/>
      </xdr:nvSpPr>
      <xdr:spPr bwMode="auto">
        <a:xfrm>
          <a:off x="2859256" y="1598485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1962939</xdr:colOff>
      <xdr:row>18</xdr:row>
      <xdr:rowOff>250843</xdr:rowOff>
    </xdr:from>
    <xdr:to>
      <xdr:col>5</xdr:col>
      <xdr:colOff>1886739</xdr:colOff>
      <xdr:row>19</xdr:row>
      <xdr:rowOff>315577</xdr:rowOff>
    </xdr:to>
    <xdr:sp macro="[0]!btnLevel.btnLevel" textlink="">
      <xdr:nvSpPr>
        <xdr:cNvPr id="120" name="btnLevelS21B0">
          <a:extLst>
            <a:ext uri="{FF2B5EF4-FFF2-40B4-BE49-F238E27FC236}">
              <a16:creationId xmlns:a16="http://schemas.microsoft.com/office/drawing/2014/main" id="{00000000-0008-0000-1400-000078000000}"/>
            </a:ext>
          </a:extLst>
        </xdr:cNvPr>
        <xdr:cNvSpPr/>
      </xdr:nvSpPr>
      <xdr:spPr bwMode="auto">
        <a:xfrm>
          <a:off x="5195996" y="6031157"/>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a:t>
          </a: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5</xdr:col>
      <xdr:colOff>2155484</xdr:colOff>
      <xdr:row>18</xdr:row>
      <xdr:rowOff>250843</xdr:rowOff>
    </xdr:from>
    <xdr:to>
      <xdr:col>7</xdr:col>
      <xdr:colOff>1926884</xdr:colOff>
      <xdr:row>19</xdr:row>
      <xdr:rowOff>315577</xdr:rowOff>
    </xdr:to>
    <xdr:sp macro="[0]!btnLevel.btnLevel" textlink="">
      <xdr:nvSpPr>
        <xdr:cNvPr id="121" name="btnLevelS21B1">
          <a:extLst>
            <a:ext uri="{FF2B5EF4-FFF2-40B4-BE49-F238E27FC236}">
              <a16:creationId xmlns:a16="http://schemas.microsoft.com/office/drawing/2014/main" id="{00000000-0008-0000-1400-000079000000}"/>
            </a:ext>
          </a:extLst>
        </xdr:cNvPr>
        <xdr:cNvSpPr/>
      </xdr:nvSpPr>
      <xdr:spPr bwMode="auto">
        <a:xfrm>
          <a:off x="7750741" y="6031157"/>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12</xdr:col>
      <xdr:colOff>55232</xdr:colOff>
      <xdr:row>18</xdr:row>
      <xdr:rowOff>239958</xdr:rowOff>
    </xdr:from>
    <xdr:to>
      <xdr:col>13</xdr:col>
      <xdr:colOff>2047318</xdr:colOff>
      <xdr:row>19</xdr:row>
      <xdr:rowOff>304692</xdr:rowOff>
    </xdr:to>
    <xdr:sp macro="[0]!btnLevel.btnLevel" textlink="">
      <xdr:nvSpPr>
        <xdr:cNvPr id="123" name="btnLevelS21B4">
          <a:extLst>
            <a:ext uri="{FF2B5EF4-FFF2-40B4-BE49-F238E27FC236}">
              <a16:creationId xmlns:a16="http://schemas.microsoft.com/office/drawing/2014/main" id="{00000000-0008-0000-1400-00007B000000}"/>
            </a:ext>
          </a:extLst>
        </xdr:cNvPr>
        <xdr:cNvSpPr/>
      </xdr:nvSpPr>
      <xdr:spPr bwMode="auto">
        <a:xfrm>
          <a:off x="15414975" y="6020272"/>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Increase</a:t>
          </a:r>
          <a:endPar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endParaRPr>
        </a:p>
      </xdr:txBody>
    </xdr:sp>
    <xdr:clientData/>
  </xdr:twoCellAnchor>
  <xdr:twoCellAnchor>
    <xdr:from>
      <xdr:col>3</xdr:col>
      <xdr:colOff>1962939</xdr:colOff>
      <xdr:row>21</xdr:row>
      <xdr:rowOff>288834</xdr:rowOff>
    </xdr:from>
    <xdr:to>
      <xdr:col>5</xdr:col>
      <xdr:colOff>1886739</xdr:colOff>
      <xdr:row>23</xdr:row>
      <xdr:rowOff>37882</xdr:rowOff>
    </xdr:to>
    <xdr:sp macro="[0]!btnLevel.btnLevel" textlink="">
      <xdr:nvSpPr>
        <xdr:cNvPr id="124" name="btnLevelS23B0">
          <a:extLst>
            <a:ext uri="{FF2B5EF4-FFF2-40B4-BE49-F238E27FC236}">
              <a16:creationId xmlns:a16="http://schemas.microsoft.com/office/drawing/2014/main" id="{00000000-0008-0000-1400-00007C000000}"/>
            </a:ext>
          </a:extLst>
        </xdr:cNvPr>
        <xdr:cNvSpPr/>
      </xdr:nvSpPr>
      <xdr:spPr bwMode="auto">
        <a:xfrm>
          <a:off x="5195996" y="7016205"/>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Decrease</a:t>
          </a:r>
          <a:endPar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endParaRPr>
        </a:p>
      </xdr:txBody>
    </xdr:sp>
    <xdr:clientData/>
  </xdr:twoCellAnchor>
  <xdr:twoCellAnchor>
    <xdr:from>
      <xdr:col>5</xdr:col>
      <xdr:colOff>2155484</xdr:colOff>
      <xdr:row>21</xdr:row>
      <xdr:rowOff>288834</xdr:rowOff>
    </xdr:from>
    <xdr:to>
      <xdr:col>7</xdr:col>
      <xdr:colOff>1926884</xdr:colOff>
      <xdr:row>23</xdr:row>
      <xdr:rowOff>37882</xdr:rowOff>
    </xdr:to>
    <xdr:sp macro="[0]!btnLevel.btnLevel" textlink="">
      <xdr:nvSpPr>
        <xdr:cNvPr id="125" name="btnLevelS23B1">
          <a:extLst>
            <a:ext uri="{FF2B5EF4-FFF2-40B4-BE49-F238E27FC236}">
              <a16:creationId xmlns:a16="http://schemas.microsoft.com/office/drawing/2014/main" id="{00000000-0008-0000-1400-00007D000000}"/>
            </a:ext>
          </a:extLst>
        </xdr:cNvPr>
        <xdr:cNvSpPr/>
      </xdr:nvSpPr>
      <xdr:spPr bwMode="auto">
        <a:xfrm>
          <a:off x="7750741" y="7016205"/>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4</xdr:col>
      <xdr:colOff>279400</xdr:colOff>
      <xdr:row>11</xdr:row>
      <xdr:rowOff>120250</xdr:rowOff>
    </xdr:from>
    <xdr:to>
      <xdr:col>5</xdr:col>
      <xdr:colOff>2090420</xdr:colOff>
      <xdr:row>11</xdr:row>
      <xdr:rowOff>679449</xdr:rowOff>
    </xdr:to>
    <xdr:sp macro="[0]!NavButtons" textlink="">
      <xdr:nvSpPr>
        <xdr:cNvPr id="2" name="NavCommercial1">
          <a:extLst>
            <a:ext uri="{FF2B5EF4-FFF2-40B4-BE49-F238E27FC236}">
              <a16:creationId xmlns:a16="http://schemas.microsoft.com/office/drawing/2014/main" id="{00000000-0008-0000-1400-000002000000}"/>
            </a:ext>
          </a:extLst>
        </xdr:cNvPr>
        <xdr:cNvSpPr/>
      </xdr:nvSpPr>
      <xdr:spPr bwMode="auto">
        <a:xfrm>
          <a:off x="5575300" y="2990450"/>
          <a:ext cx="2103120" cy="559199"/>
        </a:xfrm>
        <a:prstGeom prst="rect">
          <a:avLst/>
        </a:prstGeom>
        <a:solidFill>
          <a:srgbClr val="FFFFFF"/>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333399" mc:Ignorable="a14" a14:legacySpreadsheetColorIndex="62"/>
              </a:solidFill>
              <a:latin typeface="+mj-lt"/>
              <a:ea typeface="Segoe UI" pitchFamily="34" charset="0"/>
              <a:cs typeface="Segoe UI" pitchFamily="34" charset="0"/>
            </a:rPr>
            <a:t>Pricing &amp; Forecasting</a:t>
          </a:r>
        </a:p>
      </xdr:txBody>
    </xdr:sp>
    <xdr:clientData/>
  </xdr:twoCellAnchor>
  <xdr:twoCellAnchor>
    <xdr:from>
      <xdr:col>7</xdr:col>
      <xdr:colOff>95098</xdr:colOff>
      <xdr:row>11</xdr:row>
      <xdr:rowOff>120250</xdr:rowOff>
    </xdr:from>
    <xdr:to>
      <xdr:col>7</xdr:col>
      <xdr:colOff>2198218</xdr:colOff>
      <xdr:row>11</xdr:row>
      <xdr:rowOff>679449</xdr:rowOff>
    </xdr:to>
    <xdr:sp macro="[0]!NavButtons" textlink="">
      <xdr:nvSpPr>
        <xdr:cNvPr id="96" name="NavCommercial2">
          <a:extLst>
            <a:ext uri="{FF2B5EF4-FFF2-40B4-BE49-F238E27FC236}">
              <a16:creationId xmlns:a16="http://schemas.microsoft.com/office/drawing/2014/main" id="{00000000-0008-0000-1400-000060000000}"/>
            </a:ext>
          </a:extLst>
        </xdr:cNvPr>
        <xdr:cNvSpPr/>
      </xdr:nvSpPr>
      <xdr:spPr bwMode="auto">
        <a:xfrm>
          <a:off x="8197698" y="2990450"/>
          <a:ext cx="2103120"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Talent</a:t>
          </a:r>
          <a:r>
            <a:rPr lang="en-US" sz="16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Development</a:t>
          </a:r>
          <a:endPar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9</xdr:col>
      <xdr:colOff>202896</xdr:colOff>
      <xdr:row>11</xdr:row>
      <xdr:rowOff>120250</xdr:rowOff>
    </xdr:from>
    <xdr:to>
      <xdr:col>10</xdr:col>
      <xdr:colOff>83516</xdr:colOff>
      <xdr:row>11</xdr:row>
      <xdr:rowOff>679449</xdr:rowOff>
    </xdr:to>
    <xdr:sp macro="[0]!NavButtons" textlink="">
      <xdr:nvSpPr>
        <xdr:cNvPr id="128" name="NavCommercial3">
          <a:extLst>
            <a:ext uri="{FF2B5EF4-FFF2-40B4-BE49-F238E27FC236}">
              <a16:creationId xmlns:a16="http://schemas.microsoft.com/office/drawing/2014/main" id="{00000000-0008-0000-1400-000080000000}"/>
            </a:ext>
          </a:extLst>
        </xdr:cNvPr>
        <xdr:cNvSpPr/>
      </xdr:nvSpPr>
      <xdr:spPr bwMode="auto">
        <a:xfrm>
          <a:off x="10820096" y="2990450"/>
          <a:ext cx="2103120"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Sales</a:t>
          </a:r>
          <a:r>
            <a:rPr lang="en-US" sz="16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&amp; Services</a:t>
          </a:r>
          <a:endPar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11</xdr:col>
      <xdr:colOff>310694</xdr:colOff>
      <xdr:row>11</xdr:row>
      <xdr:rowOff>120250</xdr:rowOff>
    </xdr:from>
    <xdr:to>
      <xdr:col>12</xdr:col>
      <xdr:colOff>191314</xdr:colOff>
      <xdr:row>11</xdr:row>
      <xdr:rowOff>679449</xdr:rowOff>
    </xdr:to>
    <xdr:sp macro="[0]!NavButtons" textlink="">
      <xdr:nvSpPr>
        <xdr:cNvPr id="131" name="NavCommercial4">
          <a:extLst>
            <a:ext uri="{FF2B5EF4-FFF2-40B4-BE49-F238E27FC236}">
              <a16:creationId xmlns:a16="http://schemas.microsoft.com/office/drawing/2014/main" id="{00000000-0008-0000-1400-000083000000}"/>
            </a:ext>
          </a:extLst>
        </xdr:cNvPr>
        <xdr:cNvSpPr/>
      </xdr:nvSpPr>
      <xdr:spPr bwMode="auto">
        <a:xfrm>
          <a:off x="13442494" y="2990450"/>
          <a:ext cx="2103120"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Partner</a:t>
          </a:r>
        </a:p>
      </xdr:txBody>
    </xdr:sp>
    <xdr:clientData/>
  </xdr:twoCellAnchor>
  <xdr:twoCellAnchor>
    <xdr:from>
      <xdr:col>12</xdr:col>
      <xdr:colOff>55232</xdr:colOff>
      <xdr:row>21</xdr:row>
      <xdr:rowOff>277949</xdr:rowOff>
    </xdr:from>
    <xdr:to>
      <xdr:col>13</xdr:col>
      <xdr:colOff>2047318</xdr:colOff>
      <xdr:row>23</xdr:row>
      <xdr:rowOff>26997</xdr:rowOff>
    </xdr:to>
    <xdr:sp macro="[0]!btnLevel.btnLevel" textlink="">
      <xdr:nvSpPr>
        <xdr:cNvPr id="143" name="btnLevelS23B4">
          <a:extLst>
            <a:ext uri="{FF2B5EF4-FFF2-40B4-BE49-F238E27FC236}">
              <a16:creationId xmlns:a16="http://schemas.microsoft.com/office/drawing/2014/main" id="{00000000-0008-0000-1400-00008F000000}"/>
            </a:ext>
          </a:extLst>
        </xdr:cNvPr>
        <xdr:cNvSpPr/>
      </xdr:nvSpPr>
      <xdr:spPr bwMode="auto">
        <a:xfrm>
          <a:off x="15414975" y="7005320"/>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 Increase</a:t>
          </a:r>
        </a:p>
      </xdr:txBody>
    </xdr:sp>
    <xdr:clientData/>
  </xdr:twoCellAnchor>
  <xdr:twoCellAnchor>
    <xdr:from>
      <xdr:col>6</xdr:col>
      <xdr:colOff>58510</xdr:colOff>
      <xdr:row>45</xdr:row>
      <xdr:rowOff>20173</xdr:rowOff>
    </xdr:from>
    <xdr:to>
      <xdr:col>7</xdr:col>
      <xdr:colOff>59017</xdr:colOff>
      <xdr:row>45</xdr:row>
      <xdr:rowOff>312781</xdr:rowOff>
    </xdr:to>
    <xdr:sp macro="[0]!btnPlus" textlink="">
      <xdr:nvSpPr>
        <xdr:cNvPr id="88" name="btnPlus_Dec105">
          <a:extLst>
            <a:ext uri="{FF2B5EF4-FFF2-40B4-BE49-F238E27FC236}">
              <a16:creationId xmlns:a16="http://schemas.microsoft.com/office/drawing/2014/main" id="{00000000-0008-0000-1400-000058000000}"/>
            </a:ext>
          </a:extLst>
        </xdr:cNvPr>
        <xdr:cNvSpPr/>
      </xdr:nvSpPr>
      <xdr:spPr bwMode="auto">
        <a:xfrm>
          <a:off x="7869010" y="15183973"/>
          <a:ext cx="292607"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3998</xdr:colOff>
      <xdr:row>45</xdr:row>
      <xdr:rowOff>9524</xdr:rowOff>
    </xdr:from>
    <xdr:to>
      <xdr:col>5</xdr:col>
      <xdr:colOff>11914</xdr:colOff>
      <xdr:row>45</xdr:row>
      <xdr:rowOff>302132</xdr:rowOff>
    </xdr:to>
    <xdr:sp macro="[0]!btnMinus" textlink="">
      <xdr:nvSpPr>
        <xdr:cNvPr id="89" name="btnMinus_Dec105">
          <a:extLst>
            <a:ext uri="{FF2B5EF4-FFF2-40B4-BE49-F238E27FC236}">
              <a16:creationId xmlns:a16="http://schemas.microsoft.com/office/drawing/2014/main" id="{00000000-0008-0000-1400-000059000000}"/>
            </a:ext>
          </a:extLst>
        </xdr:cNvPr>
        <xdr:cNvSpPr/>
      </xdr:nvSpPr>
      <xdr:spPr bwMode="auto">
        <a:xfrm>
          <a:off x="15320198" y="8724899"/>
          <a:ext cx="293666"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58510</xdr:colOff>
      <xdr:row>48</xdr:row>
      <xdr:rowOff>20173</xdr:rowOff>
    </xdr:from>
    <xdr:to>
      <xdr:col>7</xdr:col>
      <xdr:colOff>59017</xdr:colOff>
      <xdr:row>48</xdr:row>
      <xdr:rowOff>312781</xdr:rowOff>
    </xdr:to>
    <xdr:sp macro="[0]!btnPlus" textlink="">
      <xdr:nvSpPr>
        <xdr:cNvPr id="90" name="btnPlus_Dec108">
          <a:extLst>
            <a:ext uri="{FF2B5EF4-FFF2-40B4-BE49-F238E27FC236}">
              <a16:creationId xmlns:a16="http://schemas.microsoft.com/office/drawing/2014/main" id="{00000000-0008-0000-1400-00005A000000}"/>
            </a:ext>
          </a:extLst>
        </xdr:cNvPr>
        <xdr:cNvSpPr/>
      </xdr:nvSpPr>
      <xdr:spPr bwMode="auto">
        <a:xfrm>
          <a:off x="7869010" y="16479373"/>
          <a:ext cx="292607"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3998</xdr:colOff>
      <xdr:row>48</xdr:row>
      <xdr:rowOff>9524</xdr:rowOff>
    </xdr:from>
    <xdr:to>
      <xdr:col>5</xdr:col>
      <xdr:colOff>11914</xdr:colOff>
      <xdr:row>48</xdr:row>
      <xdr:rowOff>302132</xdr:rowOff>
    </xdr:to>
    <xdr:sp macro="[0]!btnMinus" textlink="">
      <xdr:nvSpPr>
        <xdr:cNvPr id="91" name="btnMinus_Dec108">
          <a:extLst>
            <a:ext uri="{FF2B5EF4-FFF2-40B4-BE49-F238E27FC236}">
              <a16:creationId xmlns:a16="http://schemas.microsoft.com/office/drawing/2014/main" id="{00000000-0008-0000-1400-00005B000000}"/>
            </a:ext>
          </a:extLst>
        </xdr:cNvPr>
        <xdr:cNvSpPr/>
      </xdr:nvSpPr>
      <xdr:spPr bwMode="auto">
        <a:xfrm>
          <a:off x="15320198" y="9667874"/>
          <a:ext cx="293666"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58510</xdr:colOff>
      <xdr:row>51</xdr:row>
      <xdr:rowOff>20173</xdr:rowOff>
    </xdr:from>
    <xdr:to>
      <xdr:col>7</xdr:col>
      <xdr:colOff>59017</xdr:colOff>
      <xdr:row>51</xdr:row>
      <xdr:rowOff>312781</xdr:rowOff>
    </xdr:to>
    <xdr:sp macro="[0]!btnPlus" textlink="">
      <xdr:nvSpPr>
        <xdr:cNvPr id="92" name="btnPlus_Dec110">
          <a:extLst>
            <a:ext uri="{FF2B5EF4-FFF2-40B4-BE49-F238E27FC236}">
              <a16:creationId xmlns:a16="http://schemas.microsoft.com/office/drawing/2014/main" id="{00000000-0008-0000-1400-00005C000000}"/>
            </a:ext>
          </a:extLst>
        </xdr:cNvPr>
        <xdr:cNvSpPr/>
      </xdr:nvSpPr>
      <xdr:spPr bwMode="auto">
        <a:xfrm>
          <a:off x="7869010" y="17774773"/>
          <a:ext cx="292607"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3998</xdr:colOff>
      <xdr:row>51</xdr:row>
      <xdr:rowOff>9524</xdr:rowOff>
    </xdr:from>
    <xdr:to>
      <xdr:col>5</xdr:col>
      <xdr:colOff>11914</xdr:colOff>
      <xdr:row>51</xdr:row>
      <xdr:rowOff>302132</xdr:rowOff>
    </xdr:to>
    <xdr:sp macro="[0]!btnMinus" textlink="">
      <xdr:nvSpPr>
        <xdr:cNvPr id="93" name="btnMinus_Dec110">
          <a:extLst>
            <a:ext uri="{FF2B5EF4-FFF2-40B4-BE49-F238E27FC236}">
              <a16:creationId xmlns:a16="http://schemas.microsoft.com/office/drawing/2014/main" id="{00000000-0008-0000-1400-00005D000000}"/>
            </a:ext>
          </a:extLst>
        </xdr:cNvPr>
        <xdr:cNvSpPr/>
      </xdr:nvSpPr>
      <xdr:spPr bwMode="auto">
        <a:xfrm>
          <a:off x="15320198" y="10610849"/>
          <a:ext cx="293666"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36739</xdr:colOff>
      <xdr:row>30</xdr:row>
      <xdr:rowOff>312273</xdr:rowOff>
    </xdr:from>
    <xdr:to>
      <xdr:col>7</xdr:col>
      <xdr:colOff>37247</xdr:colOff>
      <xdr:row>31</xdr:row>
      <xdr:rowOff>290556</xdr:rowOff>
    </xdr:to>
    <xdr:sp macro="[0]!btnPlus" textlink="">
      <xdr:nvSpPr>
        <xdr:cNvPr id="144" name="btnPlus_Dec104">
          <a:extLst>
            <a:ext uri="{FF2B5EF4-FFF2-40B4-BE49-F238E27FC236}">
              <a16:creationId xmlns:a16="http://schemas.microsoft.com/office/drawing/2014/main" id="{00000000-0008-0000-1400-000090000000}"/>
            </a:ext>
          </a:extLst>
        </xdr:cNvPr>
        <xdr:cNvSpPr/>
      </xdr:nvSpPr>
      <xdr:spPr bwMode="auto">
        <a:xfrm>
          <a:off x="7992019" y="7490313"/>
          <a:ext cx="290068" cy="24498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36739</xdr:colOff>
      <xdr:row>33</xdr:row>
      <xdr:rowOff>312273</xdr:rowOff>
    </xdr:from>
    <xdr:to>
      <xdr:col>7</xdr:col>
      <xdr:colOff>37247</xdr:colOff>
      <xdr:row>34</xdr:row>
      <xdr:rowOff>290556</xdr:rowOff>
    </xdr:to>
    <xdr:sp macro="[0]!btnPlus" textlink="">
      <xdr:nvSpPr>
        <xdr:cNvPr id="145" name="btnPlus_Dec107">
          <a:extLst>
            <a:ext uri="{FF2B5EF4-FFF2-40B4-BE49-F238E27FC236}">
              <a16:creationId xmlns:a16="http://schemas.microsoft.com/office/drawing/2014/main" id="{00000000-0008-0000-1400-000091000000}"/>
            </a:ext>
          </a:extLst>
        </xdr:cNvPr>
        <xdr:cNvSpPr/>
      </xdr:nvSpPr>
      <xdr:spPr bwMode="auto">
        <a:xfrm>
          <a:off x="7992019" y="8221833"/>
          <a:ext cx="290068" cy="24498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36739</xdr:colOff>
      <xdr:row>36</xdr:row>
      <xdr:rowOff>312273</xdr:rowOff>
    </xdr:from>
    <xdr:to>
      <xdr:col>7</xdr:col>
      <xdr:colOff>37247</xdr:colOff>
      <xdr:row>37</xdr:row>
      <xdr:rowOff>290556</xdr:rowOff>
    </xdr:to>
    <xdr:sp macro="[0]!btnPlus" textlink="">
      <xdr:nvSpPr>
        <xdr:cNvPr id="146" name="btnPlus_Dec109">
          <a:extLst>
            <a:ext uri="{FF2B5EF4-FFF2-40B4-BE49-F238E27FC236}">
              <a16:creationId xmlns:a16="http://schemas.microsoft.com/office/drawing/2014/main" id="{00000000-0008-0000-1400-000092000000}"/>
            </a:ext>
          </a:extLst>
        </xdr:cNvPr>
        <xdr:cNvSpPr/>
      </xdr:nvSpPr>
      <xdr:spPr bwMode="auto">
        <a:xfrm>
          <a:off x="7992019" y="8953353"/>
          <a:ext cx="290068" cy="24498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2028583</xdr:colOff>
      <xdr:row>31</xdr:row>
      <xdr:rowOff>9524</xdr:rowOff>
    </xdr:from>
    <xdr:to>
      <xdr:col>4</xdr:col>
      <xdr:colOff>248973</xdr:colOff>
      <xdr:row>31</xdr:row>
      <xdr:rowOff>302132</xdr:rowOff>
    </xdr:to>
    <xdr:sp macro="[0]!btnMinus" textlink="">
      <xdr:nvSpPr>
        <xdr:cNvPr id="147" name="btnMinus_Dec104">
          <a:extLst>
            <a:ext uri="{FF2B5EF4-FFF2-40B4-BE49-F238E27FC236}">
              <a16:creationId xmlns:a16="http://schemas.microsoft.com/office/drawing/2014/main" id="{00000000-0008-0000-1400-000093000000}"/>
            </a:ext>
          </a:extLst>
        </xdr:cNvPr>
        <xdr:cNvSpPr/>
      </xdr:nvSpPr>
      <xdr:spPr bwMode="auto">
        <a:xfrm>
          <a:off x="5245916" y="8704791"/>
          <a:ext cx="294724"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2028583</xdr:colOff>
      <xdr:row>34</xdr:row>
      <xdr:rowOff>9524</xdr:rowOff>
    </xdr:from>
    <xdr:to>
      <xdr:col>4</xdr:col>
      <xdr:colOff>248973</xdr:colOff>
      <xdr:row>34</xdr:row>
      <xdr:rowOff>302132</xdr:rowOff>
    </xdr:to>
    <xdr:sp macro="[0]!btnMinus" textlink="">
      <xdr:nvSpPr>
        <xdr:cNvPr id="148" name="btnMinus_Dec107">
          <a:extLst>
            <a:ext uri="{FF2B5EF4-FFF2-40B4-BE49-F238E27FC236}">
              <a16:creationId xmlns:a16="http://schemas.microsoft.com/office/drawing/2014/main" id="{00000000-0008-0000-1400-000094000000}"/>
            </a:ext>
          </a:extLst>
        </xdr:cNvPr>
        <xdr:cNvSpPr/>
      </xdr:nvSpPr>
      <xdr:spPr bwMode="auto">
        <a:xfrm>
          <a:off x="5245916" y="9644591"/>
          <a:ext cx="294724"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2028583</xdr:colOff>
      <xdr:row>37</xdr:row>
      <xdr:rowOff>9524</xdr:rowOff>
    </xdr:from>
    <xdr:to>
      <xdr:col>4</xdr:col>
      <xdr:colOff>248973</xdr:colOff>
      <xdr:row>37</xdr:row>
      <xdr:rowOff>302132</xdr:rowOff>
    </xdr:to>
    <xdr:sp macro="[0]!btnMinus" textlink="">
      <xdr:nvSpPr>
        <xdr:cNvPr id="149" name="btnMinus_Dec109">
          <a:extLst>
            <a:ext uri="{FF2B5EF4-FFF2-40B4-BE49-F238E27FC236}">
              <a16:creationId xmlns:a16="http://schemas.microsoft.com/office/drawing/2014/main" id="{00000000-0008-0000-1400-000095000000}"/>
            </a:ext>
          </a:extLst>
        </xdr:cNvPr>
        <xdr:cNvSpPr/>
      </xdr:nvSpPr>
      <xdr:spPr bwMode="auto">
        <a:xfrm>
          <a:off x="5245916" y="10584391"/>
          <a:ext cx="294724"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36739</xdr:colOff>
      <xdr:row>113</xdr:row>
      <xdr:rowOff>0</xdr:rowOff>
    </xdr:from>
    <xdr:to>
      <xdr:col>5</xdr:col>
      <xdr:colOff>37247</xdr:colOff>
      <xdr:row>113</xdr:row>
      <xdr:rowOff>290556</xdr:rowOff>
    </xdr:to>
    <xdr:sp macro="[0]!btnPlus" textlink="">
      <xdr:nvSpPr>
        <xdr:cNvPr id="192" name="btnPlus_Dec120">
          <a:extLst>
            <a:ext uri="{FF2B5EF4-FFF2-40B4-BE49-F238E27FC236}">
              <a16:creationId xmlns:a16="http://schemas.microsoft.com/office/drawing/2014/main" id="{00000000-0008-0000-1400-0000C0000000}"/>
            </a:ext>
          </a:extLst>
        </xdr:cNvPr>
        <xdr:cNvSpPr/>
      </xdr:nvSpPr>
      <xdr:spPr bwMode="auto">
        <a:xfrm>
          <a:off x="5332639" y="13982700"/>
          <a:ext cx="584708" cy="290556"/>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2572871</xdr:colOff>
      <xdr:row>113</xdr:row>
      <xdr:rowOff>9524</xdr:rowOff>
    </xdr:from>
    <xdr:to>
      <xdr:col>2</xdr:col>
      <xdr:colOff>223879</xdr:colOff>
      <xdr:row>113</xdr:row>
      <xdr:rowOff>302132</xdr:rowOff>
    </xdr:to>
    <xdr:sp macro="[0]!btnMinus" textlink="">
      <xdr:nvSpPr>
        <xdr:cNvPr id="193" name="btnMinus_Dec120">
          <a:extLst>
            <a:ext uri="{FF2B5EF4-FFF2-40B4-BE49-F238E27FC236}">
              <a16:creationId xmlns:a16="http://schemas.microsoft.com/office/drawing/2014/main" id="{00000000-0008-0000-1400-0000C1000000}"/>
            </a:ext>
          </a:extLst>
        </xdr:cNvPr>
        <xdr:cNvSpPr/>
      </xdr:nvSpPr>
      <xdr:spPr bwMode="auto">
        <a:xfrm>
          <a:off x="2864971" y="1399222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36739</xdr:colOff>
      <xdr:row>112</xdr:row>
      <xdr:rowOff>312273</xdr:rowOff>
    </xdr:from>
    <xdr:to>
      <xdr:col>9</xdr:col>
      <xdr:colOff>37247</xdr:colOff>
      <xdr:row>113</xdr:row>
      <xdr:rowOff>290556</xdr:rowOff>
    </xdr:to>
    <xdr:sp macro="[0]!btnPlus" textlink="">
      <xdr:nvSpPr>
        <xdr:cNvPr id="194" name="btnPlus_Dec121">
          <a:extLst>
            <a:ext uri="{FF2B5EF4-FFF2-40B4-BE49-F238E27FC236}">
              <a16:creationId xmlns:a16="http://schemas.microsoft.com/office/drawing/2014/main" id="{00000000-0008-0000-1400-0000C2000000}"/>
            </a:ext>
          </a:extLst>
        </xdr:cNvPr>
        <xdr:cNvSpPr/>
      </xdr:nvSpPr>
      <xdr:spPr bwMode="auto">
        <a:xfrm>
          <a:off x="10653939" y="13977473"/>
          <a:ext cx="584708" cy="29578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2179171</xdr:colOff>
      <xdr:row>113</xdr:row>
      <xdr:rowOff>9524</xdr:rowOff>
    </xdr:from>
    <xdr:to>
      <xdr:col>6</xdr:col>
      <xdr:colOff>249279</xdr:colOff>
      <xdr:row>113</xdr:row>
      <xdr:rowOff>302132</xdr:rowOff>
    </xdr:to>
    <xdr:sp macro="[0]!btnMinus" textlink="">
      <xdr:nvSpPr>
        <xdr:cNvPr id="195" name="btnMinus_Dec121">
          <a:extLst>
            <a:ext uri="{FF2B5EF4-FFF2-40B4-BE49-F238E27FC236}">
              <a16:creationId xmlns:a16="http://schemas.microsoft.com/office/drawing/2014/main" id="{00000000-0008-0000-1400-0000C3000000}"/>
            </a:ext>
          </a:extLst>
        </xdr:cNvPr>
        <xdr:cNvSpPr/>
      </xdr:nvSpPr>
      <xdr:spPr bwMode="auto">
        <a:xfrm>
          <a:off x="8059271" y="1399222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36739</xdr:colOff>
      <xdr:row>132</xdr:row>
      <xdr:rowOff>223373</xdr:rowOff>
    </xdr:from>
    <xdr:to>
      <xdr:col>5</xdr:col>
      <xdr:colOff>37247</xdr:colOff>
      <xdr:row>133</xdr:row>
      <xdr:rowOff>274681</xdr:rowOff>
    </xdr:to>
    <xdr:sp macro="[0]!btnPlus" textlink="">
      <xdr:nvSpPr>
        <xdr:cNvPr id="196" name="btnPlus_Dec114">
          <a:extLst>
            <a:ext uri="{FF2B5EF4-FFF2-40B4-BE49-F238E27FC236}">
              <a16:creationId xmlns:a16="http://schemas.microsoft.com/office/drawing/2014/main" id="{00000000-0008-0000-1400-0000C4000000}"/>
            </a:ext>
          </a:extLst>
        </xdr:cNvPr>
        <xdr:cNvSpPr/>
      </xdr:nvSpPr>
      <xdr:spPr bwMode="auto">
        <a:xfrm>
          <a:off x="5332639" y="38780573"/>
          <a:ext cx="292608"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2572871</xdr:colOff>
      <xdr:row>133</xdr:row>
      <xdr:rowOff>9524</xdr:rowOff>
    </xdr:from>
    <xdr:to>
      <xdr:col>2</xdr:col>
      <xdr:colOff>223879</xdr:colOff>
      <xdr:row>133</xdr:row>
      <xdr:rowOff>302132</xdr:rowOff>
    </xdr:to>
    <xdr:sp macro="[0]!btnMinus" textlink="">
      <xdr:nvSpPr>
        <xdr:cNvPr id="197" name="btnMinus_Dec114">
          <a:extLst>
            <a:ext uri="{FF2B5EF4-FFF2-40B4-BE49-F238E27FC236}">
              <a16:creationId xmlns:a16="http://schemas.microsoft.com/office/drawing/2014/main" id="{00000000-0008-0000-1400-0000C5000000}"/>
            </a:ext>
          </a:extLst>
        </xdr:cNvPr>
        <xdr:cNvSpPr/>
      </xdr:nvSpPr>
      <xdr:spPr bwMode="auto">
        <a:xfrm>
          <a:off x="2864971" y="3856672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321733</xdr:colOff>
      <xdr:row>59</xdr:row>
      <xdr:rowOff>0</xdr:rowOff>
    </xdr:from>
    <xdr:to>
      <xdr:col>3</xdr:col>
      <xdr:colOff>614341</xdr:colOff>
      <xdr:row>59</xdr:row>
      <xdr:rowOff>292608</xdr:rowOff>
    </xdr:to>
    <xdr:sp macro="[0]!btnLevel.btnLevel" textlink="">
      <xdr:nvSpPr>
        <xdr:cNvPr id="199" name="btnLevelS16B0">
          <a:extLst>
            <a:ext uri="{FF2B5EF4-FFF2-40B4-BE49-F238E27FC236}">
              <a16:creationId xmlns:a16="http://schemas.microsoft.com/office/drawing/2014/main" id="{00000000-0008-0000-1400-0000C7000000}"/>
            </a:ext>
          </a:extLst>
        </xdr:cNvPr>
        <xdr:cNvSpPr/>
      </xdr:nvSpPr>
      <xdr:spPr>
        <a:xfrm>
          <a:off x="3547533" y="1802130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1018251</xdr:colOff>
      <xdr:row>59</xdr:row>
      <xdr:rowOff>0</xdr:rowOff>
    </xdr:from>
    <xdr:to>
      <xdr:col>3</xdr:col>
      <xdr:colOff>1310859</xdr:colOff>
      <xdr:row>59</xdr:row>
      <xdr:rowOff>292608</xdr:rowOff>
    </xdr:to>
    <xdr:sp macro="[0]!btnLevel.btnLevel" textlink="">
      <xdr:nvSpPr>
        <xdr:cNvPr id="200" name="btnLevelS16B1">
          <a:extLst>
            <a:ext uri="{FF2B5EF4-FFF2-40B4-BE49-F238E27FC236}">
              <a16:creationId xmlns:a16="http://schemas.microsoft.com/office/drawing/2014/main" id="{00000000-0008-0000-1400-0000C8000000}"/>
            </a:ext>
          </a:extLst>
        </xdr:cNvPr>
        <xdr:cNvSpPr/>
      </xdr:nvSpPr>
      <xdr:spPr>
        <a:xfrm>
          <a:off x="4244051" y="18021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1714769</xdr:colOff>
      <xdr:row>59</xdr:row>
      <xdr:rowOff>0</xdr:rowOff>
    </xdr:from>
    <xdr:to>
      <xdr:col>3</xdr:col>
      <xdr:colOff>2007377</xdr:colOff>
      <xdr:row>59</xdr:row>
      <xdr:rowOff>292608</xdr:rowOff>
    </xdr:to>
    <xdr:sp macro="[0]!btnLevel.btnLevel" textlink="">
      <xdr:nvSpPr>
        <xdr:cNvPr id="201" name="btnLevelS16B2">
          <a:extLst>
            <a:ext uri="{FF2B5EF4-FFF2-40B4-BE49-F238E27FC236}">
              <a16:creationId xmlns:a16="http://schemas.microsoft.com/office/drawing/2014/main" id="{00000000-0008-0000-1400-0000C9000000}"/>
            </a:ext>
          </a:extLst>
        </xdr:cNvPr>
        <xdr:cNvSpPr/>
      </xdr:nvSpPr>
      <xdr:spPr>
        <a:xfrm>
          <a:off x="4940569" y="18021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49087</xdr:colOff>
      <xdr:row>59</xdr:row>
      <xdr:rowOff>0</xdr:rowOff>
    </xdr:from>
    <xdr:to>
      <xdr:col>5</xdr:col>
      <xdr:colOff>341695</xdr:colOff>
      <xdr:row>59</xdr:row>
      <xdr:rowOff>292608</xdr:rowOff>
    </xdr:to>
    <xdr:sp macro="[0]!btnLevel.btnLevel" textlink="">
      <xdr:nvSpPr>
        <xdr:cNvPr id="202" name="btnLevelS16B3">
          <a:extLst>
            <a:ext uri="{FF2B5EF4-FFF2-40B4-BE49-F238E27FC236}">
              <a16:creationId xmlns:a16="http://schemas.microsoft.com/office/drawing/2014/main" id="{00000000-0008-0000-1400-0000CA000000}"/>
            </a:ext>
          </a:extLst>
        </xdr:cNvPr>
        <xdr:cNvSpPr/>
      </xdr:nvSpPr>
      <xdr:spPr>
        <a:xfrm>
          <a:off x="5637087" y="18021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745605</xdr:colOff>
      <xdr:row>59</xdr:row>
      <xdr:rowOff>0</xdr:rowOff>
    </xdr:from>
    <xdr:to>
      <xdr:col>5</xdr:col>
      <xdr:colOff>1038213</xdr:colOff>
      <xdr:row>59</xdr:row>
      <xdr:rowOff>292608</xdr:rowOff>
    </xdr:to>
    <xdr:sp macro="[0]!btnLevel.btnLevel" textlink="">
      <xdr:nvSpPr>
        <xdr:cNvPr id="203" name="btnLevelS16B4">
          <a:extLst>
            <a:ext uri="{FF2B5EF4-FFF2-40B4-BE49-F238E27FC236}">
              <a16:creationId xmlns:a16="http://schemas.microsoft.com/office/drawing/2014/main" id="{00000000-0008-0000-1400-0000CB000000}"/>
            </a:ext>
          </a:extLst>
        </xdr:cNvPr>
        <xdr:cNvSpPr/>
      </xdr:nvSpPr>
      <xdr:spPr>
        <a:xfrm>
          <a:off x="6333605" y="18021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1442121</xdr:colOff>
      <xdr:row>59</xdr:row>
      <xdr:rowOff>0</xdr:rowOff>
    </xdr:from>
    <xdr:to>
      <xdr:col>5</xdr:col>
      <xdr:colOff>1734729</xdr:colOff>
      <xdr:row>59</xdr:row>
      <xdr:rowOff>292608</xdr:rowOff>
    </xdr:to>
    <xdr:sp macro="[0]!btnLevel.btnLevel" textlink="">
      <xdr:nvSpPr>
        <xdr:cNvPr id="204" name="btnLevelS16B5">
          <a:extLst>
            <a:ext uri="{FF2B5EF4-FFF2-40B4-BE49-F238E27FC236}">
              <a16:creationId xmlns:a16="http://schemas.microsoft.com/office/drawing/2014/main" id="{00000000-0008-0000-1400-0000CC000000}"/>
            </a:ext>
          </a:extLst>
        </xdr:cNvPr>
        <xdr:cNvSpPr/>
      </xdr:nvSpPr>
      <xdr:spPr>
        <a:xfrm>
          <a:off x="7030121" y="18021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3</xdr:col>
      <xdr:colOff>321733</xdr:colOff>
      <xdr:row>66</xdr:row>
      <xdr:rowOff>0</xdr:rowOff>
    </xdr:from>
    <xdr:to>
      <xdr:col>3</xdr:col>
      <xdr:colOff>614341</xdr:colOff>
      <xdr:row>66</xdr:row>
      <xdr:rowOff>292608</xdr:rowOff>
    </xdr:to>
    <xdr:sp macro="[0]!btnLevel.btnLevel" textlink="">
      <xdr:nvSpPr>
        <xdr:cNvPr id="205" name="btnLevelS17B0">
          <a:extLst>
            <a:ext uri="{FF2B5EF4-FFF2-40B4-BE49-F238E27FC236}">
              <a16:creationId xmlns:a16="http://schemas.microsoft.com/office/drawing/2014/main" id="{00000000-0008-0000-1400-0000CD000000}"/>
            </a:ext>
          </a:extLst>
        </xdr:cNvPr>
        <xdr:cNvSpPr/>
      </xdr:nvSpPr>
      <xdr:spPr>
        <a:xfrm>
          <a:off x="3547533" y="2024380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1018251</xdr:colOff>
      <xdr:row>66</xdr:row>
      <xdr:rowOff>0</xdr:rowOff>
    </xdr:from>
    <xdr:to>
      <xdr:col>3</xdr:col>
      <xdr:colOff>1310859</xdr:colOff>
      <xdr:row>66</xdr:row>
      <xdr:rowOff>292608</xdr:rowOff>
    </xdr:to>
    <xdr:sp macro="[0]!btnLevel.btnLevel" textlink="">
      <xdr:nvSpPr>
        <xdr:cNvPr id="206" name="btnLevelS17B1">
          <a:extLst>
            <a:ext uri="{FF2B5EF4-FFF2-40B4-BE49-F238E27FC236}">
              <a16:creationId xmlns:a16="http://schemas.microsoft.com/office/drawing/2014/main" id="{00000000-0008-0000-1400-0000CE000000}"/>
            </a:ext>
          </a:extLst>
        </xdr:cNvPr>
        <xdr:cNvSpPr/>
      </xdr:nvSpPr>
      <xdr:spPr>
        <a:xfrm>
          <a:off x="4244051" y="20243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1714769</xdr:colOff>
      <xdr:row>66</xdr:row>
      <xdr:rowOff>0</xdr:rowOff>
    </xdr:from>
    <xdr:to>
      <xdr:col>3</xdr:col>
      <xdr:colOff>2007377</xdr:colOff>
      <xdr:row>66</xdr:row>
      <xdr:rowOff>292608</xdr:rowOff>
    </xdr:to>
    <xdr:sp macro="[0]!btnLevel.btnLevel" textlink="">
      <xdr:nvSpPr>
        <xdr:cNvPr id="207" name="btnLevelS17B2">
          <a:extLst>
            <a:ext uri="{FF2B5EF4-FFF2-40B4-BE49-F238E27FC236}">
              <a16:creationId xmlns:a16="http://schemas.microsoft.com/office/drawing/2014/main" id="{00000000-0008-0000-1400-0000CF000000}"/>
            </a:ext>
          </a:extLst>
        </xdr:cNvPr>
        <xdr:cNvSpPr/>
      </xdr:nvSpPr>
      <xdr:spPr>
        <a:xfrm>
          <a:off x="4940569" y="20243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49087</xdr:colOff>
      <xdr:row>66</xdr:row>
      <xdr:rowOff>0</xdr:rowOff>
    </xdr:from>
    <xdr:to>
      <xdr:col>5</xdr:col>
      <xdr:colOff>341695</xdr:colOff>
      <xdr:row>66</xdr:row>
      <xdr:rowOff>292608</xdr:rowOff>
    </xdr:to>
    <xdr:sp macro="[0]!btnLevel.btnLevel" textlink="">
      <xdr:nvSpPr>
        <xdr:cNvPr id="208" name="btnLevelS17B3">
          <a:extLst>
            <a:ext uri="{FF2B5EF4-FFF2-40B4-BE49-F238E27FC236}">
              <a16:creationId xmlns:a16="http://schemas.microsoft.com/office/drawing/2014/main" id="{00000000-0008-0000-1400-0000D0000000}"/>
            </a:ext>
          </a:extLst>
        </xdr:cNvPr>
        <xdr:cNvSpPr/>
      </xdr:nvSpPr>
      <xdr:spPr>
        <a:xfrm>
          <a:off x="5637087" y="20243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745605</xdr:colOff>
      <xdr:row>66</xdr:row>
      <xdr:rowOff>0</xdr:rowOff>
    </xdr:from>
    <xdr:to>
      <xdr:col>5</xdr:col>
      <xdr:colOff>1038213</xdr:colOff>
      <xdr:row>66</xdr:row>
      <xdr:rowOff>292608</xdr:rowOff>
    </xdr:to>
    <xdr:sp macro="[0]!btnLevel.btnLevel" textlink="">
      <xdr:nvSpPr>
        <xdr:cNvPr id="209" name="btnLevelS17B4">
          <a:extLst>
            <a:ext uri="{FF2B5EF4-FFF2-40B4-BE49-F238E27FC236}">
              <a16:creationId xmlns:a16="http://schemas.microsoft.com/office/drawing/2014/main" id="{00000000-0008-0000-1400-0000D1000000}"/>
            </a:ext>
          </a:extLst>
        </xdr:cNvPr>
        <xdr:cNvSpPr/>
      </xdr:nvSpPr>
      <xdr:spPr>
        <a:xfrm>
          <a:off x="6333605" y="20243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1442121</xdr:colOff>
      <xdr:row>66</xdr:row>
      <xdr:rowOff>0</xdr:rowOff>
    </xdr:from>
    <xdr:to>
      <xdr:col>5</xdr:col>
      <xdr:colOff>1734729</xdr:colOff>
      <xdr:row>66</xdr:row>
      <xdr:rowOff>292608</xdr:rowOff>
    </xdr:to>
    <xdr:sp macro="[0]!btnLevel.btnLevel" textlink="">
      <xdr:nvSpPr>
        <xdr:cNvPr id="210" name="btnLevelS17B5">
          <a:extLst>
            <a:ext uri="{FF2B5EF4-FFF2-40B4-BE49-F238E27FC236}">
              <a16:creationId xmlns:a16="http://schemas.microsoft.com/office/drawing/2014/main" id="{00000000-0008-0000-1400-0000D2000000}"/>
            </a:ext>
          </a:extLst>
        </xdr:cNvPr>
        <xdr:cNvSpPr/>
      </xdr:nvSpPr>
      <xdr:spPr>
        <a:xfrm>
          <a:off x="7030121" y="202438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3</xdr:col>
      <xdr:colOff>321733</xdr:colOff>
      <xdr:row>72</xdr:row>
      <xdr:rowOff>50801</xdr:rowOff>
    </xdr:from>
    <xdr:to>
      <xdr:col>3</xdr:col>
      <xdr:colOff>614341</xdr:colOff>
      <xdr:row>73</xdr:row>
      <xdr:rowOff>30142</xdr:rowOff>
    </xdr:to>
    <xdr:sp macro="[0]!btnLevel.btnLevel" textlink="">
      <xdr:nvSpPr>
        <xdr:cNvPr id="211" name="btnLevelS18B0">
          <a:extLst>
            <a:ext uri="{FF2B5EF4-FFF2-40B4-BE49-F238E27FC236}">
              <a16:creationId xmlns:a16="http://schemas.microsoft.com/office/drawing/2014/main" id="{00000000-0008-0000-1400-0000D3000000}"/>
            </a:ext>
          </a:extLst>
        </xdr:cNvPr>
        <xdr:cNvSpPr/>
      </xdr:nvSpPr>
      <xdr:spPr>
        <a:xfrm>
          <a:off x="3547533" y="22199601"/>
          <a:ext cx="292608" cy="296841"/>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1018251</xdr:colOff>
      <xdr:row>72</xdr:row>
      <xdr:rowOff>50801</xdr:rowOff>
    </xdr:from>
    <xdr:to>
      <xdr:col>3</xdr:col>
      <xdr:colOff>1310859</xdr:colOff>
      <xdr:row>73</xdr:row>
      <xdr:rowOff>30142</xdr:rowOff>
    </xdr:to>
    <xdr:sp macro="[0]!btnLevel.btnLevel" textlink="">
      <xdr:nvSpPr>
        <xdr:cNvPr id="212" name="btnLevelS18B1">
          <a:extLst>
            <a:ext uri="{FF2B5EF4-FFF2-40B4-BE49-F238E27FC236}">
              <a16:creationId xmlns:a16="http://schemas.microsoft.com/office/drawing/2014/main" id="{00000000-0008-0000-1400-0000D4000000}"/>
            </a:ext>
          </a:extLst>
        </xdr:cNvPr>
        <xdr:cNvSpPr/>
      </xdr:nvSpPr>
      <xdr:spPr>
        <a:xfrm>
          <a:off x="4244051" y="22199601"/>
          <a:ext cx="292608" cy="296841"/>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1714769</xdr:colOff>
      <xdr:row>72</xdr:row>
      <xdr:rowOff>50801</xdr:rowOff>
    </xdr:from>
    <xdr:to>
      <xdr:col>3</xdr:col>
      <xdr:colOff>2007377</xdr:colOff>
      <xdr:row>73</xdr:row>
      <xdr:rowOff>30142</xdr:rowOff>
    </xdr:to>
    <xdr:sp macro="[0]!btnLevel.btnLevel" textlink="">
      <xdr:nvSpPr>
        <xdr:cNvPr id="213" name="btnLevelS18B2">
          <a:extLst>
            <a:ext uri="{FF2B5EF4-FFF2-40B4-BE49-F238E27FC236}">
              <a16:creationId xmlns:a16="http://schemas.microsoft.com/office/drawing/2014/main" id="{00000000-0008-0000-1400-0000D5000000}"/>
            </a:ext>
          </a:extLst>
        </xdr:cNvPr>
        <xdr:cNvSpPr/>
      </xdr:nvSpPr>
      <xdr:spPr>
        <a:xfrm>
          <a:off x="4940569" y="22199601"/>
          <a:ext cx="292608" cy="296841"/>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49087</xdr:colOff>
      <xdr:row>72</xdr:row>
      <xdr:rowOff>50801</xdr:rowOff>
    </xdr:from>
    <xdr:to>
      <xdr:col>5</xdr:col>
      <xdr:colOff>341695</xdr:colOff>
      <xdr:row>73</xdr:row>
      <xdr:rowOff>30142</xdr:rowOff>
    </xdr:to>
    <xdr:sp macro="[0]!btnLevel.btnLevel" textlink="">
      <xdr:nvSpPr>
        <xdr:cNvPr id="214" name="btnLevelS18B3">
          <a:extLst>
            <a:ext uri="{FF2B5EF4-FFF2-40B4-BE49-F238E27FC236}">
              <a16:creationId xmlns:a16="http://schemas.microsoft.com/office/drawing/2014/main" id="{00000000-0008-0000-1400-0000D6000000}"/>
            </a:ext>
          </a:extLst>
        </xdr:cNvPr>
        <xdr:cNvSpPr/>
      </xdr:nvSpPr>
      <xdr:spPr>
        <a:xfrm>
          <a:off x="5637087" y="22199601"/>
          <a:ext cx="292608" cy="296841"/>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745605</xdr:colOff>
      <xdr:row>72</xdr:row>
      <xdr:rowOff>50801</xdr:rowOff>
    </xdr:from>
    <xdr:to>
      <xdr:col>5</xdr:col>
      <xdr:colOff>1038213</xdr:colOff>
      <xdr:row>73</xdr:row>
      <xdr:rowOff>30142</xdr:rowOff>
    </xdr:to>
    <xdr:sp macro="[0]!btnLevel.btnLevel" textlink="">
      <xdr:nvSpPr>
        <xdr:cNvPr id="215" name="btnLevelS18B4">
          <a:extLst>
            <a:ext uri="{FF2B5EF4-FFF2-40B4-BE49-F238E27FC236}">
              <a16:creationId xmlns:a16="http://schemas.microsoft.com/office/drawing/2014/main" id="{00000000-0008-0000-1400-0000D7000000}"/>
            </a:ext>
          </a:extLst>
        </xdr:cNvPr>
        <xdr:cNvSpPr/>
      </xdr:nvSpPr>
      <xdr:spPr>
        <a:xfrm>
          <a:off x="6333605" y="22199601"/>
          <a:ext cx="292608" cy="296841"/>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1442121</xdr:colOff>
      <xdr:row>72</xdr:row>
      <xdr:rowOff>50801</xdr:rowOff>
    </xdr:from>
    <xdr:to>
      <xdr:col>5</xdr:col>
      <xdr:colOff>1734729</xdr:colOff>
      <xdr:row>73</xdr:row>
      <xdr:rowOff>30142</xdr:rowOff>
    </xdr:to>
    <xdr:sp macro="[0]!btnLevel.btnLevel" textlink="">
      <xdr:nvSpPr>
        <xdr:cNvPr id="216" name="btnLevelS18B5">
          <a:extLst>
            <a:ext uri="{FF2B5EF4-FFF2-40B4-BE49-F238E27FC236}">
              <a16:creationId xmlns:a16="http://schemas.microsoft.com/office/drawing/2014/main" id="{00000000-0008-0000-1400-0000D8000000}"/>
            </a:ext>
          </a:extLst>
        </xdr:cNvPr>
        <xdr:cNvSpPr/>
      </xdr:nvSpPr>
      <xdr:spPr>
        <a:xfrm>
          <a:off x="7030121" y="22199601"/>
          <a:ext cx="292608" cy="296841"/>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13</xdr:col>
      <xdr:colOff>418493</xdr:colOff>
      <xdr:row>11</xdr:row>
      <xdr:rowOff>120250</xdr:rowOff>
    </xdr:from>
    <xdr:to>
      <xdr:col>15</xdr:col>
      <xdr:colOff>7013</xdr:colOff>
      <xdr:row>11</xdr:row>
      <xdr:rowOff>679449</xdr:rowOff>
    </xdr:to>
    <xdr:sp macro="[0]!NavButtons" textlink="">
      <xdr:nvSpPr>
        <xdr:cNvPr id="107" name="NavCommercial5" hidden="1">
          <a:extLst>
            <a:ext uri="{FF2B5EF4-FFF2-40B4-BE49-F238E27FC236}">
              <a16:creationId xmlns:a16="http://schemas.microsoft.com/office/drawing/2014/main" id="{00000000-0008-0000-1400-00006B000000}"/>
            </a:ext>
          </a:extLst>
        </xdr:cNvPr>
        <xdr:cNvSpPr/>
      </xdr:nvSpPr>
      <xdr:spPr bwMode="auto">
        <a:xfrm>
          <a:off x="16054733" y="3518770"/>
          <a:ext cx="2103120"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Cloud</a:t>
          </a:r>
          <a:r>
            <a:rPr lang="en-US" sz="1600" b="0" baseline="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 Migration</a:t>
          </a:r>
          <a:endPar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endParaRPr>
        </a:p>
      </xdr:txBody>
    </xdr:sp>
    <xdr:clientData/>
  </xdr:twoCellAnchor>
  <xdr:twoCellAnchor>
    <xdr:from>
      <xdr:col>2</xdr:col>
      <xdr:colOff>10883</xdr:colOff>
      <xdr:row>101</xdr:row>
      <xdr:rowOff>7620</xdr:rowOff>
    </xdr:from>
    <xdr:to>
      <xdr:col>3</xdr:col>
      <xdr:colOff>9577</xdr:colOff>
      <xdr:row>101</xdr:row>
      <xdr:rowOff>300228</xdr:rowOff>
    </xdr:to>
    <xdr:sp macro="[0]!btnLevel.btnLevel" textlink="">
      <xdr:nvSpPr>
        <xdr:cNvPr id="106" name="btnLevelS1B0">
          <a:extLst>
            <a:ext uri="{FF2B5EF4-FFF2-40B4-BE49-F238E27FC236}">
              <a16:creationId xmlns:a16="http://schemas.microsoft.com/office/drawing/2014/main" id="{00000000-0008-0000-1400-00006A000000}"/>
            </a:ext>
          </a:extLst>
        </xdr:cNvPr>
        <xdr:cNvSpPr/>
      </xdr:nvSpPr>
      <xdr:spPr>
        <a:xfrm>
          <a:off x="2944583" y="5875020"/>
          <a:ext cx="288254"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184294</xdr:colOff>
      <xdr:row>101</xdr:row>
      <xdr:rowOff>7620</xdr:rowOff>
    </xdr:from>
    <xdr:to>
      <xdr:col>3</xdr:col>
      <xdr:colOff>476902</xdr:colOff>
      <xdr:row>101</xdr:row>
      <xdr:rowOff>300228</xdr:rowOff>
    </xdr:to>
    <xdr:sp macro="[0]!btnLevel.btnLevel" textlink="">
      <xdr:nvSpPr>
        <xdr:cNvPr id="108" name="btnLevelS1B1">
          <a:extLst>
            <a:ext uri="{FF2B5EF4-FFF2-40B4-BE49-F238E27FC236}">
              <a16:creationId xmlns:a16="http://schemas.microsoft.com/office/drawing/2014/main" id="{00000000-0008-0000-1400-00006C000000}"/>
            </a:ext>
          </a:extLst>
        </xdr:cNvPr>
        <xdr:cNvSpPr/>
      </xdr:nvSpPr>
      <xdr:spPr>
        <a:xfrm>
          <a:off x="3407554" y="58750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651619</xdr:colOff>
      <xdr:row>101</xdr:row>
      <xdr:rowOff>7620</xdr:rowOff>
    </xdr:from>
    <xdr:to>
      <xdr:col>3</xdr:col>
      <xdr:colOff>944227</xdr:colOff>
      <xdr:row>101</xdr:row>
      <xdr:rowOff>300228</xdr:rowOff>
    </xdr:to>
    <xdr:sp macro="[0]!btnLevel.btnLevel" textlink="">
      <xdr:nvSpPr>
        <xdr:cNvPr id="109" name="btnLevelS1B2">
          <a:extLst>
            <a:ext uri="{FF2B5EF4-FFF2-40B4-BE49-F238E27FC236}">
              <a16:creationId xmlns:a16="http://schemas.microsoft.com/office/drawing/2014/main" id="{00000000-0008-0000-1400-00006D000000}"/>
            </a:ext>
          </a:extLst>
        </xdr:cNvPr>
        <xdr:cNvSpPr/>
      </xdr:nvSpPr>
      <xdr:spPr>
        <a:xfrm>
          <a:off x="3874879" y="58750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1118944</xdr:colOff>
      <xdr:row>101</xdr:row>
      <xdr:rowOff>7620</xdr:rowOff>
    </xdr:from>
    <xdr:to>
      <xdr:col>3</xdr:col>
      <xdr:colOff>1411552</xdr:colOff>
      <xdr:row>101</xdr:row>
      <xdr:rowOff>300228</xdr:rowOff>
    </xdr:to>
    <xdr:sp macro="[0]!btnLevel.btnLevel" textlink="">
      <xdr:nvSpPr>
        <xdr:cNvPr id="110" name="btnLevelS1B3">
          <a:extLst>
            <a:ext uri="{FF2B5EF4-FFF2-40B4-BE49-F238E27FC236}">
              <a16:creationId xmlns:a16="http://schemas.microsoft.com/office/drawing/2014/main" id="{00000000-0008-0000-1400-00006E000000}"/>
            </a:ext>
          </a:extLst>
        </xdr:cNvPr>
        <xdr:cNvSpPr/>
      </xdr:nvSpPr>
      <xdr:spPr>
        <a:xfrm>
          <a:off x="4342204" y="58750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1586269</xdr:colOff>
      <xdr:row>101</xdr:row>
      <xdr:rowOff>7620</xdr:rowOff>
    </xdr:from>
    <xdr:to>
      <xdr:col>3</xdr:col>
      <xdr:colOff>1878877</xdr:colOff>
      <xdr:row>101</xdr:row>
      <xdr:rowOff>300228</xdr:rowOff>
    </xdr:to>
    <xdr:sp macro="[0]!btnLevel.btnLevel" textlink="">
      <xdr:nvSpPr>
        <xdr:cNvPr id="111" name="btnLevelS1B4">
          <a:extLst>
            <a:ext uri="{FF2B5EF4-FFF2-40B4-BE49-F238E27FC236}">
              <a16:creationId xmlns:a16="http://schemas.microsoft.com/office/drawing/2014/main" id="{00000000-0008-0000-1400-00006F000000}"/>
            </a:ext>
          </a:extLst>
        </xdr:cNvPr>
        <xdr:cNvSpPr/>
      </xdr:nvSpPr>
      <xdr:spPr>
        <a:xfrm>
          <a:off x="4809529" y="58750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2053594</xdr:colOff>
      <xdr:row>101</xdr:row>
      <xdr:rowOff>7620</xdr:rowOff>
    </xdr:from>
    <xdr:to>
      <xdr:col>4</xdr:col>
      <xdr:colOff>277916</xdr:colOff>
      <xdr:row>101</xdr:row>
      <xdr:rowOff>300228</xdr:rowOff>
    </xdr:to>
    <xdr:sp macro="[0]!btnLevel.btnLevel" textlink="">
      <xdr:nvSpPr>
        <xdr:cNvPr id="112" name="btnLevelS1B5">
          <a:extLst>
            <a:ext uri="{FF2B5EF4-FFF2-40B4-BE49-F238E27FC236}">
              <a16:creationId xmlns:a16="http://schemas.microsoft.com/office/drawing/2014/main" id="{00000000-0008-0000-1400-000070000000}"/>
            </a:ext>
          </a:extLst>
        </xdr:cNvPr>
        <xdr:cNvSpPr/>
      </xdr:nvSpPr>
      <xdr:spPr>
        <a:xfrm>
          <a:off x="5276854" y="5875020"/>
          <a:ext cx="29696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6</xdr:col>
      <xdr:colOff>0</xdr:colOff>
      <xdr:row>101</xdr:row>
      <xdr:rowOff>0</xdr:rowOff>
    </xdr:from>
    <xdr:to>
      <xdr:col>6</xdr:col>
      <xdr:colOff>292608</xdr:colOff>
      <xdr:row>101</xdr:row>
      <xdr:rowOff>292608</xdr:rowOff>
    </xdr:to>
    <xdr:sp macro="[0]!btnLevel.btnLevel" textlink="">
      <xdr:nvSpPr>
        <xdr:cNvPr id="113" name="btnLevelS2B0">
          <a:extLst>
            <a:ext uri="{FF2B5EF4-FFF2-40B4-BE49-F238E27FC236}">
              <a16:creationId xmlns:a16="http://schemas.microsoft.com/office/drawing/2014/main" id="{00000000-0008-0000-1400-000071000000}"/>
            </a:ext>
          </a:extLst>
        </xdr:cNvPr>
        <xdr:cNvSpPr/>
      </xdr:nvSpPr>
      <xdr:spPr>
        <a:xfrm>
          <a:off x="7802880" y="586740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7</xdr:col>
      <xdr:colOff>173411</xdr:colOff>
      <xdr:row>101</xdr:row>
      <xdr:rowOff>0</xdr:rowOff>
    </xdr:from>
    <xdr:to>
      <xdr:col>7</xdr:col>
      <xdr:colOff>466019</xdr:colOff>
      <xdr:row>101</xdr:row>
      <xdr:rowOff>292608</xdr:rowOff>
    </xdr:to>
    <xdr:sp macro="[0]!btnLevel.btnLevel" textlink="">
      <xdr:nvSpPr>
        <xdr:cNvPr id="114" name="btnLevelS2B1">
          <a:extLst>
            <a:ext uri="{FF2B5EF4-FFF2-40B4-BE49-F238E27FC236}">
              <a16:creationId xmlns:a16="http://schemas.microsoft.com/office/drawing/2014/main" id="{00000000-0008-0000-1400-000072000000}"/>
            </a:ext>
          </a:extLst>
        </xdr:cNvPr>
        <xdr:cNvSpPr/>
      </xdr:nvSpPr>
      <xdr:spPr>
        <a:xfrm>
          <a:off x="8265851"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7</xdr:col>
      <xdr:colOff>640736</xdr:colOff>
      <xdr:row>101</xdr:row>
      <xdr:rowOff>0</xdr:rowOff>
    </xdr:from>
    <xdr:to>
      <xdr:col>7</xdr:col>
      <xdr:colOff>933344</xdr:colOff>
      <xdr:row>101</xdr:row>
      <xdr:rowOff>292608</xdr:rowOff>
    </xdr:to>
    <xdr:sp macro="[0]!btnLevel.btnLevel" textlink="">
      <xdr:nvSpPr>
        <xdr:cNvPr id="115" name="btnLevelS2B2">
          <a:extLst>
            <a:ext uri="{FF2B5EF4-FFF2-40B4-BE49-F238E27FC236}">
              <a16:creationId xmlns:a16="http://schemas.microsoft.com/office/drawing/2014/main" id="{00000000-0008-0000-1400-000073000000}"/>
            </a:ext>
          </a:extLst>
        </xdr:cNvPr>
        <xdr:cNvSpPr/>
      </xdr:nvSpPr>
      <xdr:spPr>
        <a:xfrm>
          <a:off x="8733176"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7</xdr:col>
      <xdr:colOff>1108061</xdr:colOff>
      <xdr:row>101</xdr:row>
      <xdr:rowOff>0</xdr:rowOff>
    </xdr:from>
    <xdr:to>
      <xdr:col>7</xdr:col>
      <xdr:colOff>1400669</xdr:colOff>
      <xdr:row>101</xdr:row>
      <xdr:rowOff>292608</xdr:rowOff>
    </xdr:to>
    <xdr:sp macro="[0]!btnLevel.btnLevel" textlink="">
      <xdr:nvSpPr>
        <xdr:cNvPr id="116" name="btnLevelS2B3">
          <a:extLst>
            <a:ext uri="{FF2B5EF4-FFF2-40B4-BE49-F238E27FC236}">
              <a16:creationId xmlns:a16="http://schemas.microsoft.com/office/drawing/2014/main" id="{00000000-0008-0000-1400-000074000000}"/>
            </a:ext>
          </a:extLst>
        </xdr:cNvPr>
        <xdr:cNvSpPr/>
      </xdr:nvSpPr>
      <xdr:spPr>
        <a:xfrm>
          <a:off x="9200501"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7</xdr:col>
      <xdr:colOff>1575386</xdr:colOff>
      <xdr:row>101</xdr:row>
      <xdr:rowOff>0</xdr:rowOff>
    </xdr:from>
    <xdr:to>
      <xdr:col>7</xdr:col>
      <xdr:colOff>1867994</xdr:colOff>
      <xdr:row>101</xdr:row>
      <xdr:rowOff>292608</xdr:rowOff>
    </xdr:to>
    <xdr:sp macro="[0]!btnLevel.btnLevel" textlink="">
      <xdr:nvSpPr>
        <xdr:cNvPr id="117" name="btnLevelS2B4">
          <a:extLst>
            <a:ext uri="{FF2B5EF4-FFF2-40B4-BE49-F238E27FC236}">
              <a16:creationId xmlns:a16="http://schemas.microsoft.com/office/drawing/2014/main" id="{00000000-0008-0000-1400-000075000000}"/>
            </a:ext>
          </a:extLst>
        </xdr:cNvPr>
        <xdr:cNvSpPr/>
      </xdr:nvSpPr>
      <xdr:spPr>
        <a:xfrm>
          <a:off x="9667826"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7</xdr:col>
      <xdr:colOff>2042711</xdr:colOff>
      <xdr:row>101</xdr:row>
      <xdr:rowOff>0</xdr:rowOff>
    </xdr:from>
    <xdr:to>
      <xdr:col>8</xdr:col>
      <xdr:colOff>114633</xdr:colOff>
      <xdr:row>101</xdr:row>
      <xdr:rowOff>292608</xdr:rowOff>
    </xdr:to>
    <xdr:sp macro="[0]!btnLevel.btnLevel" textlink="">
      <xdr:nvSpPr>
        <xdr:cNvPr id="118" name="btnLevelS2B5">
          <a:extLst>
            <a:ext uri="{FF2B5EF4-FFF2-40B4-BE49-F238E27FC236}">
              <a16:creationId xmlns:a16="http://schemas.microsoft.com/office/drawing/2014/main" id="{00000000-0008-0000-1400-000076000000}"/>
            </a:ext>
          </a:extLst>
        </xdr:cNvPr>
        <xdr:cNvSpPr/>
      </xdr:nvSpPr>
      <xdr:spPr>
        <a:xfrm>
          <a:off x="10135151" y="5867400"/>
          <a:ext cx="28934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10</xdr:col>
      <xdr:colOff>0</xdr:colOff>
      <xdr:row>101</xdr:row>
      <xdr:rowOff>0</xdr:rowOff>
    </xdr:from>
    <xdr:to>
      <xdr:col>10</xdr:col>
      <xdr:colOff>292608</xdr:colOff>
      <xdr:row>101</xdr:row>
      <xdr:rowOff>292608</xdr:rowOff>
    </xdr:to>
    <xdr:sp macro="[0]!btnLevel.btnLevel" textlink="">
      <xdr:nvSpPr>
        <xdr:cNvPr id="119" name="btnLevelS3B0">
          <a:extLst>
            <a:ext uri="{FF2B5EF4-FFF2-40B4-BE49-F238E27FC236}">
              <a16:creationId xmlns:a16="http://schemas.microsoft.com/office/drawing/2014/main" id="{00000000-0008-0000-1400-000077000000}"/>
            </a:ext>
          </a:extLst>
        </xdr:cNvPr>
        <xdr:cNvSpPr/>
      </xdr:nvSpPr>
      <xdr:spPr>
        <a:xfrm>
          <a:off x="12816840" y="586740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11</xdr:col>
      <xdr:colOff>173411</xdr:colOff>
      <xdr:row>101</xdr:row>
      <xdr:rowOff>0</xdr:rowOff>
    </xdr:from>
    <xdr:to>
      <xdr:col>11</xdr:col>
      <xdr:colOff>466019</xdr:colOff>
      <xdr:row>101</xdr:row>
      <xdr:rowOff>292608</xdr:rowOff>
    </xdr:to>
    <xdr:sp macro="[0]!btnLevel.btnLevel" textlink="">
      <xdr:nvSpPr>
        <xdr:cNvPr id="122" name="btnLevelS3B1">
          <a:extLst>
            <a:ext uri="{FF2B5EF4-FFF2-40B4-BE49-F238E27FC236}">
              <a16:creationId xmlns:a16="http://schemas.microsoft.com/office/drawing/2014/main" id="{00000000-0008-0000-1400-00007A000000}"/>
            </a:ext>
          </a:extLst>
        </xdr:cNvPr>
        <xdr:cNvSpPr/>
      </xdr:nvSpPr>
      <xdr:spPr>
        <a:xfrm>
          <a:off x="13279811"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11</xdr:col>
      <xdr:colOff>640736</xdr:colOff>
      <xdr:row>101</xdr:row>
      <xdr:rowOff>0</xdr:rowOff>
    </xdr:from>
    <xdr:to>
      <xdr:col>11</xdr:col>
      <xdr:colOff>933344</xdr:colOff>
      <xdr:row>101</xdr:row>
      <xdr:rowOff>292608</xdr:rowOff>
    </xdr:to>
    <xdr:sp macro="[0]!btnLevel.btnLevel" textlink="">
      <xdr:nvSpPr>
        <xdr:cNvPr id="127" name="btnLevelS3B2">
          <a:extLst>
            <a:ext uri="{FF2B5EF4-FFF2-40B4-BE49-F238E27FC236}">
              <a16:creationId xmlns:a16="http://schemas.microsoft.com/office/drawing/2014/main" id="{00000000-0008-0000-1400-00007F000000}"/>
            </a:ext>
          </a:extLst>
        </xdr:cNvPr>
        <xdr:cNvSpPr/>
      </xdr:nvSpPr>
      <xdr:spPr>
        <a:xfrm>
          <a:off x="13747136"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11</xdr:col>
      <xdr:colOff>1108061</xdr:colOff>
      <xdr:row>101</xdr:row>
      <xdr:rowOff>0</xdr:rowOff>
    </xdr:from>
    <xdr:to>
      <xdr:col>11</xdr:col>
      <xdr:colOff>1400669</xdr:colOff>
      <xdr:row>101</xdr:row>
      <xdr:rowOff>292608</xdr:rowOff>
    </xdr:to>
    <xdr:sp macro="[0]!btnLevel.btnLevel" textlink="">
      <xdr:nvSpPr>
        <xdr:cNvPr id="129" name="btnLevelS3B3">
          <a:extLst>
            <a:ext uri="{FF2B5EF4-FFF2-40B4-BE49-F238E27FC236}">
              <a16:creationId xmlns:a16="http://schemas.microsoft.com/office/drawing/2014/main" id="{00000000-0008-0000-1400-000081000000}"/>
            </a:ext>
          </a:extLst>
        </xdr:cNvPr>
        <xdr:cNvSpPr/>
      </xdr:nvSpPr>
      <xdr:spPr>
        <a:xfrm>
          <a:off x="14214461"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11</xdr:col>
      <xdr:colOff>1575386</xdr:colOff>
      <xdr:row>101</xdr:row>
      <xdr:rowOff>0</xdr:rowOff>
    </xdr:from>
    <xdr:to>
      <xdr:col>11</xdr:col>
      <xdr:colOff>1867994</xdr:colOff>
      <xdr:row>101</xdr:row>
      <xdr:rowOff>292608</xdr:rowOff>
    </xdr:to>
    <xdr:sp macro="[0]!btnLevel.btnLevel" textlink="">
      <xdr:nvSpPr>
        <xdr:cNvPr id="130" name="btnLevelS3B4">
          <a:extLst>
            <a:ext uri="{FF2B5EF4-FFF2-40B4-BE49-F238E27FC236}">
              <a16:creationId xmlns:a16="http://schemas.microsoft.com/office/drawing/2014/main" id="{00000000-0008-0000-1400-000082000000}"/>
            </a:ext>
          </a:extLst>
        </xdr:cNvPr>
        <xdr:cNvSpPr/>
      </xdr:nvSpPr>
      <xdr:spPr>
        <a:xfrm>
          <a:off x="14681786" y="58674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11</xdr:col>
      <xdr:colOff>2042711</xdr:colOff>
      <xdr:row>101</xdr:row>
      <xdr:rowOff>0</xdr:rowOff>
    </xdr:from>
    <xdr:to>
      <xdr:col>12</xdr:col>
      <xdr:colOff>114633</xdr:colOff>
      <xdr:row>101</xdr:row>
      <xdr:rowOff>292608</xdr:rowOff>
    </xdr:to>
    <xdr:sp macro="[0]!btnLevel.btnLevel" textlink="">
      <xdr:nvSpPr>
        <xdr:cNvPr id="132" name="btnLevelS3B5">
          <a:extLst>
            <a:ext uri="{FF2B5EF4-FFF2-40B4-BE49-F238E27FC236}">
              <a16:creationId xmlns:a16="http://schemas.microsoft.com/office/drawing/2014/main" id="{00000000-0008-0000-1400-000084000000}"/>
            </a:ext>
          </a:extLst>
        </xdr:cNvPr>
        <xdr:cNvSpPr/>
      </xdr:nvSpPr>
      <xdr:spPr>
        <a:xfrm>
          <a:off x="15149111" y="5867400"/>
          <a:ext cx="28934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9</xdr:col>
      <xdr:colOff>0</xdr:colOff>
      <xdr:row>28</xdr:row>
      <xdr:rowOff>0</xdr:rowOff>
    </xdr:from>
    <xdr:to>
      <xdr:col>15</xdr:col>
      <xdr:colOff>182880</xdr:colOff>
      <xdr:row>39</xdr:row>
      <xdr:rowOff>335280</xdr:rowOff>
    </xdr:to>
    <xdr:graphicFrame macro="">
      <xdr:nvGraphicFramePr>
        <xdr:cNvPr id="135" name="Chart 134">
          <a:extLst>
            <a:ext uri="{FF2B5EF4-FFF2-40B4-BE49-F238E27FC236}">
              <a16:creationId xmlns:a16="http://schemas.microsoft.com/office/drawing/2014/main" id="{00000000-0008-0000-14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241300</xdr:colOff>
      <xdr:row>43</xdr:row>
      <xdr:rowOff>88900</xdr:rowOff>
    </xdr:from>
    <xdr:to>
      <xdr:col>15</xdr:col>
      <xdr:colOff>208280</xdr:colOff>
      <xdr:row>53</xdr:row>
      <xdr:rowOff>424180</xdr:rowOff>
    </xdr:to>
    <xdr:graphicFrame macro="">
      <xdr:nvGraphicFramePr>
        <xdr:cNvPr id="136" name="Chart 135">
          <a:extLst>
            <a:ext uri="{FF2B5EF4-FFF2-40B4-BE49-F238E27FC236}">
              <a16:creationId xmlns:a16="http://schemas.microsoft.com/office/drawing/2014/main" id="{00000000-0008-0000-1400-00008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1264920</xdr:colOff>
      <xdr:row>82</xdr:row>
      <xdr:rowOff>411480</xdr:rowOff>
    </xdr:from>
    <xdr:to>
      <xdr:col>13</xdr:col>
      <xdr:colOff>1310640</xdr:colOff>
      <xdr:row>90</xdr:row>
      <xdr:rowOff>274320</xdr:rowOff>
    </xdr:to>
    <xdr:graphicFrame macro="">
      <xdr:nvGraphicFramePr>
        <xdr:cNvPr id="137" name="Chart 136">
          <a:extLst>
            <a:ext uri="{FF2B5EF4-FFF2-40B4-BE49-F238E27FC236}">
              <a16:creationId xmlns:a16="http://schemas.microsoft.com/office/drawing/2014/main" id="{00000000-0008-0000-1400-00008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137160</xdr:colOff>
      <xdr:row>56</xdr:row>
      <xdr:rowOff>396240</xdr:rowOff>
    </xdr:from>
    <xdr:to>
      <xdr:col>17</xdr:col>
      <xdr:colOff>213360</xdr:colOff>
      <xdr:row>76</xdr:row>
      <xdr:rowOff>228600</xdr:rowOff>
    </xdr:to>
    <xdr:graphicFrame macro="">
      <xdr:nvGraphicFramePr>
        <xdr:cNvPr id="138" name="Chart 137">
          <a:extLst>
            <a:ext uri="{FF2B5EF4-FFF2-40B4-BE49-F238E27FC236}">
              <a16:creationId xmlns:a16="http://schemas.microsoft.com/office/drawing/2014/main" id="{00000000-0008-0000-1400-00008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30389</xdr:colOff>
      <xdr:row>188</xdr:row>
      <xdr:rowOff>166223</xdr:rowOff>
    </xdr:from>
    <xdr:to>
      <xdr:col>7</xdr:col>
      <xdr:colOff>30897</xdr:colOff>
      <xdr:row>189</xdr:row>
      <xdr:rowOff>220706</xdr:rowOff>
    </xdr:to>
    <xdr:sp macro="[0]!btnPlus" textlink="">
      <xdr:nvSpPr>
        <xdr:cNvPr id="133" name="btnPlus_Dec121">
          <a:extLst>
            <a:ext uri="{FF2B5EF4-FFF2-40B4-BE49-F238E27FC236}">
              <a16:creationId xmlns:a16="http://schemas.microsoft.com/office/drawing/2014/main" id="{00000000-0008-0000-1400-000085000000}"/>
            </a:ext>
          </a:extLst>
        </xdr:cNvPr>
        <xdr:cNvSpPr/>
      </xdr:nvSpPr>
      <xdr:spPr bwMode="auto">
        <a:xfrm>
          <a:off x="7840889" y="29020623"/>
          <a:ext cx="292608" cy="295783"/>
        </a:xfrm>
        <a:prstGeom prst="mathPlus">
          <a:avLst/>
        </a:prstGeom>
        <a:solidFill>
          <a:schemeClr val="tx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2066141</xdr:colOff>
      <xdr:row>188</xdr:row>
      <xdr:rowOff>180974</xdr:rowOff>
    </xdr:from>
    <xdr:to>
      <xdr:col>4</xdr:col>
      <xdr:colOff>242929</xdr:colOff>
      <xdr:row>189</xdr:row>
      <xdr:rowOff>232282</xdr:rowOff>
    </xdr:to>
    <xdr:sp macro="[0]!btnMinus" textlink="">
      <xdr:nvSpPr>
        <xdr:cNvPr id="139" name="btnMinus_Dec121">
          <a:extLst>
            <a:ext uri="{FF2B5EF4-FFF2-40B4-BE49-F238E27FC236}">
              <a16:creationId xmlns:a16="http://schemas.microsoft.com/office/drawing/2014/main" id="{00000000-0008-0000-1400-00008B000000}"/>
            </a:ext>
          </a:extLst>
        </xdr:cNvPr>
        <xdr:cNvSpPr/>
      </xdr:nvSpPr>
      <xdr:spPr bwMode="auto">
        <a:xfrm>
          <a:off x="5291941" y="29035374"/>
          <a:ext cx="246888" cy="292608"/>
        </a:xfrm>
        <a:prstGeom prst="mathMinus">
          <a:avLst/>
        </a:prstGeom>
        <a:solidFill>
          <a:schemeClr val="tx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21648</xdr:colOff>
      <xdr:row>113</xdr:row>
      <xdr:rowOff>12700</xdr:rowOff>
    </xdr:from>
    <xdr:to>
      <xdr:col>13</xdr:col>
      <xdr:colOff>22156</xdr:colOff>
      <xdr:row>113</xdr:row>
      <xdr:rowOff>308483</xdr:rowOff>
    </xdr:to>
    <xdr:sp macro="[0]!btnPlus" textlink="">
      <xdr:nvSpPr>
        <xdr:cNvPr id="140" name="btnPlus_Dec122">
          <a:extLst>
            <a:ext uri="{FF2B5EF4-FFF2-40B4-BE49-F238E27FC236}">
              <a16:creationId xmlns:a16="http://schemas.microsoft.com/office/drawing/2014/main" id="{00000000-0008-0000-1400-00008C000000}"/>
            </a:ext>
          </a:extLst>
        </xdr:cNvPr>
        <xdr:cNvSpPr/>
      </xdr:nvSpPr>
      <xdr:spPr bwMode="auto">
        <a:xfrm>
          <a:off x="15960148" y="13995400"/>
          <a:ext cx="584708" cy="29578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2057400</xdr:colOff>
      <xdr:row>113</xdr:row>
      <xdr:rowOff>27451</xdr:rowOff>
    </xdr:from>
    <xdr:to>
      <xdr:col>10</xdr:col>
      <xdr:colOff>234188</xdr:colOff>
      <xdr:row>114</xdr:row>
      <xdr:rowOff>2559</xdr:rowOff>
    </xdr:to>
    <xdr:sp macro="[0]!btnMinus" textlink="">
      <xdr:nvSpPr>
        <xdr:cNvPr id="141" name="btnMinus_Dec122">
          <a:extLst>
            <a:ext uri="{FF2B5EF4-FFF2-40B4-BE49-F238E27FC236}">
              <a16:creationId xmlns:a16="http://schemas.microsoft.com/office/drawing/2014/main" id="{00000000-0008-0000-1400-00008D000000}"/>
            </a:ext>
          </a:extLst>
        </xdr:cNvPr>
        <xdr:cNvSpPr/>
      </xdr:nvSpPr>
      <xdr:spPr bwMode="auto">
        <a:xfrm>
          <a:off x="13258800" y="14010151"/>
          <a:ext cx="39928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177800</xdr:colOff>
      <xdr:row>159</xdr:row>
      <xdr:rowOff>215900</xdr:rowOff>
    </xdr:from>
    <xdr:to>
      <xdr:col>17</xdr:col>
      <xdr:colOff>350520</xdr:colOff>
      <xdr:row>159</xdr:row>
      <xdr:rowOff>215900</xdr:rowOff>
    </xdr:to>
    <xdr:graphicFrame macro="">
      <xdr:nvGraphicFramePr>
        <xdr:cNvPr id="142" name="Chart 141">
          <a:extLst>
            <a:ext uri="{FF2B5EF4-FFF2-40B4-BE49-F238E27FC236}">
              <a16:creationId xmlns:a16="http://schemas.microsoft.com/office/drawing/2014/main" id="{00000000-0008-0000-14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25304</xdr:colOff>
      <xdr:row>15</xdr:row>
      <xdr:rowOff>213360</xdr:rowOff>
    </xdr:from>
    <xdr:to>
      <xdr:col>11</xdr:col>
      <xdr:colOff>2017390</xdr:colOff>
      <xdr:row>16</xdr:row>
      <xdr:rowOff>277586</xdr:rowOff>
    </xdr:to>
    <xdr:sp macro="[0]!btnLevel.btnLevel" textlink="">
      <xdr:nvSpPr>
        <xdr:cNvPr id="168" name="btnLevelS20B3">
          <a:extLst>
            <a:ext uri="{FF2B5EF4-FFF2-40B4-BE49-F238E27FC236}">
              <a16:creationId xmlns:a16="http://schemas.microsoft.com/office/drawing/2014/main" id="{00000000-0008-0000-1400-0000A8000000}"/>
            </a:ext>
          </a:extLst>
        </xdr:cNvPr>
        <xdr:cNvSpPr/>
      </xdr:nvSpPr>
      <xdr:spPr bwMode="auto">
        <a:xfrm>
          <a:off x="12870447" y="5046617"/>
          <a:ext cx="2286000" cy="379912"/>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Increase</a:t>
          </a:r>
        </a:p>
      </xdr:txBody>
    </xdr:sp>
    <xdr:clientData/>
  </xdr:twoCellAnchor>
  <xdr:twoCellAnchor>
    <xdr:from>
      <xdr:col>10</xdr:col>
      <xdr:colOff>15088</xdr:colOff>
      <xdr:row>18</xdr:row>
      <xdr:rowOff>250843</xdr:rowOff>
    </xdr:from>
    <xdr:to>
      <xdr:col>11</xdr:col>
      <xdr:colOff>2007174</xdr:colOff>
      <xdr:row>19</xdr:row>
      <xdr:rowOff>315577</xdr:rowOff>
    </xdr:to>
    <xdr:sp macro="[0]!btnLevel.btnLevel" textlink="">
      <xdr:nvSpPr>
        <xdr:cNvPr id="169" name="btnLevelS21B3">
          <a:extLst>
            <a:ext uri="{FF2B5EF4-FFF2-40B4-BE49-F238E27FC236}">
              <a16:creationId xmlns:a16="http://schemas.microsoft.com/office/drawing/2014/main" id="{00000000-0008-0000-1400-0000A9000000}"/>
            </a:ext>
          </a:extLst>
        </xdr:cNvPr>
        <xdr:cNvSpPr/>
      </xdr:nvSpPr>
      <xdr:spPr bwMode="auto">
        <a:xfrm>
          <a:off x="12860231" y="6031157"/>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Increase</a:t>
          </a:r>
        </a:p>
      </xdr:txBody>
    </xdr:sp>
    <xdr:clientData/>
  </xdr:twoCellAnchor>
  <xdr:twoCellAnchor>
    <xdr:from>
      <xdr:col>10</xdr:col>
      <xdr:colOff>15088</xdr:colOff>
      <xdr:row>21</xdr:row>
      <xdr:rowOff>288834</xdr:rowOff>
    </xdr:from>
    <xdr:to>
      <xdr:col>11</xdr:col>
      <xdr:colOff>2007174</xdr:colOff>
      <xdr:row>23</xdr:row>
      <xdr:rowOff>37882</xdr:rowOff>
    </xdr:to>
    <xdr:sp macro="[0]!btnLevel.btnLevel" textlink="">
      <xdr:nvSpPr>
        <xdr:cNvPr id="170" name="btnLevelS23B3">
          <a:extLst>
            <a:ext uri="{FF2B5EF4-FFF2-40B4-BE49-F238E27FC236}">
              <a16:creationId xmlns:a16="http://schemas.microsoft.com/office/drawing/2014/main" id="{00000000-0008-0000-1400-0000AA000000}"/>
            </a:ext>
          </a:extLst>
        </xdr:cNvPr>
        <xdr:cNvSpPr/>
      </xdr:nvSpPr>
      <xdr:spPr bwMode="auto">
        <a:xfrm>
          <a:off x="12860231" y="7016205"/>
          <a:ext cx="2286000" cy="380420"/>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Increase</a:t>
          </a:r>
        </a:p>
      </xdr:txBody>
    </xdr:sp>
    <xdr:clientData/>
  </xdr:twoCellAnchor>
  <xdr:twoCellAnchor>
    <xdr:from>
      <xdr:col>7</xdr:col>
      <xdr:colOff>2216864</xdr:colOff>
      <xdr:row>15</xdr:row>
      <xdr:rowOff>213360</xdr:rowOff>
    </xdr:from>
    <xdr:to>
      <xdr:col>9</xdr:col>
      <xdr:colOff>1988264</xdr:colOff>
      <xdr:row>16</xdr:row>
      <xdr:rowOff>277586</xdr:rowOff>
    </xdr:to>
    <xdr:sp macro="[0]!btnLevel.btnLevel" textlink="">
      <xdr:nvSpPr>
        <xdr:cNvPr id="171" name="btnLevelS20B2">
          <a:extLst>
            <a:ext uri="{FF2B5EF4-FFF2-40B4-BE49-F238E27FC236}">
              <a16:creationId xmlns:a16="http://schemas.microsoft.com/office/drawing/2014/main" id="{00000000-0008-0000-1400-0000AB000000}"/>
            </a:ext>
          </a:extLst>
        </xdr:cNvPr>
        <xdr:cNvSpPr/>
      </xdr:nvSpPr>
      <xdr:spPr bwMode="auto">
        <a:xfrm>
          <a:off x="10326721" y="5046617"/>
          <a:ext cx="2286000" cy="379912"/>
        </a:xfrm>
        <a:prstGeom prst="rect">
          <a:avLst/>
        </a:prstGeom>
        <a:solidFill>
          <a:srgbClr val="5C2D9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Maintain</a:t>
          </a:r>
        </a:p>
      </xdr:txBody>
    </xdr:sp>
    <xdr:clientData/>
  </xdr:twoCellAnchor>
  <xdr:twoCellAnchor>
    <xdr:from>
      <xdr:col>7</xdr:col>
      <xdr:colOff>2195629</xdr:colOff>
      <xdr:row>18</xdr:row>
      <xdr:rowOff>250843</xdr:rowOff>
    </xdr:from>
    <xdr:to>
      <xdr:col>9</xdr:col>
      <xdr:colOff>1967029</xdr:colOff>
      <xdr:row>19</xdr:row>
      <xdr:rowOff>315577</xdr:rowOff>
    </xdr:to>
    <xdr:sp macro="[0]!btnLevel.btnLevel" textlink="">
      <xdr:nvSpPr>
        <xdr:cNvPr id="172" name="btnLevelS21B2">
          <a:extLst>
            <a:ext uri="{FF2B5EF4-FFF2-40B4-BE49-F238E27FC236}">
              <a16:creationId xmlns:a16="http://schemas.microsoft.com/office/drawing/2014/main" id="{00000000-0008-0000-1400-0000AC000000}"/>
            </a:ext>
          </a:extLst>
        </xdr:cNvPr>
        <xdr:cNvSpPr/>
      </xdr:nvSpPr>
      <xdr:spPr bwMode="auto">
        <a:xfrm>
          <a:off x="10305486" y="6031157"/>
          <a:ext cx="2286000" cy="380420"/>
        </a:xfrm>
        <a:prstGeom prst="rect">
          <a:avLst/>
        </a:prstGeom>
        <a:solidFill>
          <a:srgbClr val="5C2D9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Maintain</a:t>
          </a:r>
        </a:p>
      </xdr:txBody>
    </xdr:sp>
    <xdr:clientData/>
  </xdr:twoCellAnchor>
  <xdr:twoCellAnchor>
    <xdr:from>
      <xdr:col>7</xdr:col>
      <xdr:colOff>2195629</xdr:colOff>
      <xdr:row>21</xdr:row>
      <xdr:rowOff>288834</xdr:rowOff>
    </xdr:from>
    <xdr:to>
      <xdr:col>9</xdr:col>
      <xdr:colOff>1967029</xdr:colOff>
      <xdr:row>23</xdr:row>
      <xdr:rowOff>37882</xdr:rowOff>
    </xdr:to>
    <xdr:sp macro="[0]!btnLevel.btnLevel" textlink="">
      <xdr:nvSpPr>
        <xdr:cNvPr id="173" name="btnLevelS23B2">
          <a:extLst>
            <a:ext uri="{FF2B5EF4-FFF2-40B4-BE49-F238E27FC236}">
              <a16:creationId xmlns:a16="http://schemas.microsoft.com/office/drawing/2014/main" id="{00000000-0008-0000-1400-0000AD000000}"/>
            </a:ext>
          </a:extLst>
        </xdr:cNvPr>
        <xdr:cNvSpPr/>
      </xdr:nvSpPr>
      <xdr:spPr bwMode="auto">
        <a:xfrm>
          <a:off x="10305486" y="7016205"/>
          <a:ext cx="2286000" cy="380420"/>
        </a:xfrm>
        <a:prstGeom prst="rect">
          <a:avLst/>
        </a:prstGeom>
        <a:solidFill>
          <a:srgbClr val="5C2D9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Maintain</a:t>
          </a:r>
        </a:p>
      </xdr:txBody>
    </xdr:sp>
    <xdr:clientData/>
  </xdr:twoCellAnchor>
  <xdr:twoCellAnchor>
    <xdr:from>
      <xdr:col>1</xdr:col>
      <xdr:colOff>1727200</xdr:colOff>
      <xdr:row>120</xdr:row>
      <xdr:rowOff>101600</xdr:rowOff>
    </xdr:from>
    <xdr:to>
      <xdr:col>5</xdr:col>
      <xdr:colOff>1016000</xdr:colOff>
      <xdr:row>131</xdr:row>
      <xdr:rowOff>50800</xdr:rowOff>
    </xdr:to>
    <xdr:graphicFrame macro="">
      <xdr:nvGraphicFramePr>
        <xdr:cNvPr id="159" name="Chart 158">
          <a:extLst>
            <a:ext uri="{FF2B5EF4-FFF2-40B4-BE49-F238E27FC236}">
              <a16:creationId xmlns:a16="http://schemas.microsoft.com/office/drawing/2014/main" id="{00000000-0008-0000-1400-00009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121</xdr:row>
      <xdr:rowOff>0</xdr:rowOff>
    </xdr:from>
    <xdr:to>
      <xdr:col>15</xdr:col>
      <xdr:colOff>819150</xdr:colOff>
      <xdr:row>135</xdr:row>
      <xdr:rowOff>0</xdr:rowOff>
    </xdr:to>
    <xdr:graphicFrame macro="">
      <xdr:nvGraphicFramePr>
        <xdr:cNvPr id="160" name="Chart 159">
          <a:extLst>
            <a:ext uri="{FF2B5EF4-FFF2-40B4-BE49-F238E27FC236}">
              <a16:creationId xmlns:a16="http://schemas.microsoft.com/office/drawing/2014/main" id="{00000000-0008-0000-1400-0000A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63500</xdr:colOff>
      <xdr:row>13</xdr:row>
      <xdr:rowOff>127000</xdr:rowOff>
    </xdr:from>
    <xdr:to>
      <xdr:col>0</xdr:col>
      <xdr:colOff>264668</xdr:colOff>
      <xdr:row>13</xdr:row>
      <xdr:rowOff>328168</xdr:rowOff>
    </xdr:to>
    <xdr:sp macro="[0]!InfoButton_Click" textlink="">
      <xdr:nvSpPr>
        <xdr:cNvPr id="183" name="btnInfo17">
          <a:extLst>
            <a:ext uri="{FF2B5EF4-FFF2-40B4-BE49-F238E27FC236}">
              <a16:creationId xmlns:a16="http://schemas.microsoft.com/office/drawing/2014/main" id="{00000000-0008-0000-1400-0000B7000000}"/>
            </a:ext>
          </a:extLst>
        </xdr:cNvPr>
        <xdr:cNvSpPr/>
      </xdr:nvSpPr>
      <xdr:spPr>
        <a:xfrm>
          <a:off x="63500" y="41021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38100</xdr:colOff>
      <xdr:row>27</xdr:row>
      <xdr:rowOff>127000</xdr:rowOff>
    </xdr:from>
    <xdr:to>
      <xdr:col>0</xdr:col>
      <xdr:colOff>239268</xdr:colOff>
      <xdr:row>27</xdr:row>
      <xdr:rowOff>328168</xdr:rowOff>
    </xdr:to>
    <xdr:sp macro="[0]!InfoButton_Click" textlink="">
      <xdr:nvSpPr>
        <xdr:cNvPr id="184" name="btnInfo18">
          <a:extLst>
            <a:ext uri="{FF2B5EF4-FFF2-40B4-BE49-F238E27FC236}">
              <a16:creationId xmlns:a16="http://schemas.microsoft.com/office/drawing/2014/main" id="{00000000-0008-0000-1400-0000B8000000}"/>
            </a:ext>
          </a:extLst>
        </xdr:cNvPr>
        <xdr:cNvSpPr/>
      </xdr:nvSpPr>
      <xdr:spPr>
        <a:xfrm>
          <a:off x="38100" y="88900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59</xdr:row>
      <xdr:rowOff>63500</xdr:rowOff>
    </xdr:from>
    <xdr:to>
      <xdr:col>0</xdr:col>
      <xdr:colOff>251968</xdr:colOff>
      <xdr:row>59</xdr:row>
      <xdr:rowOff>264668</xdr:rowOff>
    </xdr:to>
    <xdr:sp macro="[0]!InfoButton_Click" textlink="">
      <xdr:nvSpPr>
        <xdr:cNvPr id="185" name="btnInfo19">
          <a:extLst>
            <a:ext uri="{FF2B5EF4-FFF2-40B4-BE49-F238E27FC236}">
              <a16:creationId xmlns:a16="http://schemas.microsoft.com/office/drawing/2014/main" id="{00000000-0008-0000-1400-0000B9000000}"/>
            </a:ext>
          </a:extLst>
        </xdr:cNvPr>
        <xdr:cNvSpPr/>
      </xdr:nvSpPr>
      <xdr:spPr>
        <a:xfrm>
          <a:off x="50800" y="54229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66</xdr:row>
      <xdr:rowOff>63500</xdr:rowOff>
    </xdr:from>
    <xdr:to>
      <xdr:col>0</xdr:col>
      <xdr:colOff>251968</xdr:colOff>
      <xdr:row>66</xdr:row>
      <xdr:rowOff>264668</xdr:rowOff>
    </xdr:to>
    <xdr:sp macro="[0]!InfoButton_Click" textlink="">
      <xdr:nvSpPr>
        <xdr:cNvPr id="187" name="btnInfo20">
          <a:extLst>
            <a:ext uri="{FF2B5EF4-FFF2-40B4-BE49-F238E27FC236}">
              <a16:creationId xmlns:a16="http://schemas.microsoft.com/office/drawing/2014/main" id="{00000000-0008-0000-1400-0000BB000000}"/>
            </a:ext>
          </a:extLst>
        </xdr:cNvPr>
        <xdr:cNvSpPr/>
      </xdr:nvSpPr>
      <xdr:spPr>
        <a:xfrm>
          <a:off x="50800" y="54229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xdr:col>
      <xdr:colOff>2470150</xdr:colOff>
      <xdr:row>81</xdr:row>
      <xdr:rowOff>50800</xdr:rowOff>
    </xdr:from>
    <xdr:to>
      <xdr:col>2</xdr:col>
      <xdr:colOff>42418</xdr:colOff>
      <xdr:row>81</xdr:row>
      <xdr:rowOff>251968</xdr:rowOff>
    </xdr:to>
    <xdr:sp macro="[0]!InfoButton_Click" textlink="">
      <xdr:nvSpPr>
        <xdr:cNvPr id="189" name="btnInfo22">
          <a:extLst>
            <a:ext uri="{FF2B5EF4-FFF2-40B4-BE49-F238E27FC236}">
              <a16:creationId xmlns:a16="http://schemas.microsoft.com/office/drawing/2014/main" id="{00000000-0008-0000-1400-0000BD000000}"/>
            </a:ext>
          </a:extLst>
        </xdr:cNvPr>
        <xdr:cNvSpPr/>
      </xdr:nvSpPr>
      <xdr:spPr>
        <a:xfrm>
          <a:off x="2755900" y="570865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6</xdr:col>
      <xdr:colOff>50800</xdr:colOff>
      <xdr:row>81</xdr:row>
      <xdr:rowOff>50800</xdr:rowOff>
    </xdr:from>
    <xdr:to>
      <xdr:col>6</xdr:col>
      <xdr:colOff>251968</xdr:colOff>
      <xdr:row>81</xdr:row>
      <xdr:rowOff>251968</xdr:rowOff>
    </xdr:to>
    <xdr:sp macro="[0]!InfoButton_Click" textlink="">
      <xdr:nvSpPr>
        <xdr:cNvPr id="190" name="btnInfo23">
          <a:extLst>
            <a:ext uri="{FF2B5EF4-FFF2-40B4-BE49-F238E27FC236}">
              <a16:creationId xmlns:a16="http://schemas.microsoft.com/office/drawing/2014/main" id="{00000000-0008-0000-1400-0000BE000000}"/>
            </a:ext>
          </a:extLst>
        </xdr:cNvPr>
        <xdr:cNvSpPr/>
      </xdr:nvSpPr>
      <xdr:spPr>
        <a:xfrm>
          <a:off x="2984500" y="52070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9</xdr:col>
      <xdr:colOff>2051050</xdr:colOff>
      <xdr:row>81</xdr:row>
      <xdr:rowOff>50800</xdr:rowOff>
    </xdr:from>
    <xdr:to>
      <xdr:col>10</xdr:col>
      <xdr:colOff>42418</xdr:colOff>
      <xdr:row>81</xdr:row>
      <xdr:rowOff>251968</xdr:rowOff>
    </xdr:to>
    <xdr:sp macro="[0]!InfoButton_Click" textlink="">
      <xdr:nvSpPr>
        <xdr:cNvPr id="191" name="btnInfo24">
          <a:extLst>
            <a:ext uri="{FF2B5EF4-FFF2-40B4-BE49-F238E27FC236}">
              <a16:creationId xmlns:a16="http://schemas.microsoft.com/office/drawing/2014/main" id="{00000000-0008-0000-1400-0000BF000000}"/>
            </a:ext>
          </a:extLst>
        </xdr:cNvPr>
        <xdr:cNvSpPr/>
      </xdr:nvSpPr>
      <xdr:spPr>
        <a:xfrm>
          <a:off x="12604750" y="570865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2</xdr:col>
      <xdr:colOff>50800</xdr:colOff>
      <xdr:row>99</xdr:row>
      <xdr:rowOff>76200</xdr:rowOff>
    </xdr:from>
    <xdr:to>
      <xdr:col>2</xdr:col>
      <xdr:colOff>251968</xdr:colOff>
      <xdr:row>99</xdr:row>
      <xdr:rowOff>277368</xdr:rowOff>
    </xdr:to>
    <xdr:sp macro="[0]!InfoButton_Click" textlink="">
      <xdr:nvSpPr>
        <xdr:cNvPr id="198" name="btnInfo25">
          <a:extLst>
            <a:ext uri="{FF2B5EF4-FFF2-40B4-BE49-F238E27FC236}">
              <a16:creationId xmlns:a16="http://schemas.microsoft.com/office/drawing/2014/main" id="{00000000-0008-0000-1400-0000C6000000}"/>
            </a:ext>
          </a:extLst>
        </xdr:cNvPr>
        <xdr:cNvSpPr/>
      </xdr:nvSpPr>
      <xdr:spPr>
        <a:xfrm>
          <a:off x="2984500" y="52324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6</xdr:col>
      <xdr:colOff>50800</xdr:colOff>
      <xdr:row>99</xdr:row>
      <xdr:rowOff>76200</xdr:rowOff>
    </xdr:from>
    <xdr:to>
      <xdr:col>6</xdr:col>
      <xdr:colOff>251968</xdr:colOff>
      <xdr:row>99</xdr:row>
      <xdr:rowOff>277368</xdr:rowOff>
    </xdr:to>
    <xdr:sp macro="[0]!InfoButton_Click" textlink="">
      <xdr:nvSpPr>
        <xdr:cNvPr id="217" name="btnInfo26">
          <a:extLst>
            <a:ext uri="{FF2B5EF4-FFF2-40B4-BE49-F238E27FC236}">
              <a16:creationId xmlns:a16="http://schemas.microsoft.com/office/drawing/2014/main" id="{00000000-0008-0000-1400-0000D9000000}"/>
            </a:ext>
          </a:extLst>
        </xdr:cNvPr>
        <xdr:cNvSpPr/>
      </xdr:nvSpPr>
      <xdr:spPr>
        <a:xfrm>
          <a:off x="2984500" y="52324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10</xdr:col>
      <xdr:colOff>50800</xdr:colOff>
      <xdr:row>99</xdr:row>
      <xdr:rowOff>76200</xdr:rowOff>
    </xdr:from>
    <xdr:to>
      <xdr:col>10</xdr:col>
      <xdr:colOff>251968</xdr:colOff>
      <xdr:row>99</xdr:row>
      <xdr:rowOff>277368</xdr:rowOff>
    </xdr:to>
    <xdr:sp macro="[0]!InfoButton_Click" textlink="">
      <xdr:nvSpPr>
        <xdr:cNvPr id="218" name="btnInfo27">
          <a:extLst>
            <a:ext uri="{FF2B5EF4-FFF2-40B4-BE49-F238E27FC236}">
              <a16:creationId xmlns:a16="http://schemas.microsoft.com/office/drawing/2014/main" id="{00000000-0008-0000-1400-0000DA000000}"/>
            </a:ext>
          </a:extLst>
        </xdr:cNvPr>
        <xdr:cNvSpPr/>
      </xdr:nvSpPr>
      <xdr:spPr>
        <a:xfrm>
          <a:off x="2984500" y="52324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109</xdr:row>
      <xdr:rowOff>101600</xdr:rowOff>
    </xdr:from>
    <xdr:to>
      <xdr:col>0</xdr:col>
      <xdr:colOff>251968</xdr:colOff>
      <xdr:row>109</xdr:row>
      <xdr:rowOff>302768</xdr:rowOff>
    </xdr:to>
    <xdr:sp macro="[0]!InfoButton_Click" textlink="">
      <xdr:nvSpPr>
        <xdr:cNvPr id="219" name="btnInfo28">
          <a:extLst>
            <a:ext uri="{FF2B5EF4-FFF2-40B4-BE49-F238E27FC236}">
              <a16:creationId xmlns:a16="http://schemas.microsoft.com/office/drawing/2014/main" id="{00000000-0008-0000-1400-0000DB000000}"/>
            </a:ext>
          </a:extLst>
        </xdr:cNvPr>
        <xdr:cNvSpPr/>
      </xdr:nvSpPr>
      <xdr:spPr>
        <a:xfrm>
          <a:off x="50800" y="85471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7</xdr:col>
      <xdr:colOff>63500</xdr:colOff>
      <xdr:row>10</xdr:row>
      <xdr:rowOff>0</xdr:rowOff>
    </xdr:from>
    <xdr:to>
      <xdr:col>8</xdr:col>
      <xdr:colOff>76200</xdr:colOff>
      <xdr:row>10</xdr:row>
      <xdr:rowOff>1562100</xdr:rowOff>
    </xdr:to>
    <xdr:graphicFrame macro="">
      <xdr:nvGraphicFramePr>
        <xdr:cNvPr id="164" name="Chart 163">
          <a:extLst>
            <a:ext uri="{FF2B5EF4-FFF2-40B4-BE49-F238E27FC236}">
              <a16:creationId xmlns:a16="http://schemas.microsoft.com/office/drawing/2014/main" id="{00000000-0008-0000-14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63500</xdr:colOff>
      <xdr:row>10</xdr:row>
      <xdr:rowOff>0</xdr:rowOff>
    </xdr:from>
    <xdr:to>
      <xdr:col>10</xdr:col>
      <xdr:colOff>76200</xdr:colOff>
      <xdr:row>10</xdr:row>
      <xdr:rowOff>1562100</xdr:rowOff>
    </xdr:to>
    <xdr:graphicFrame macro="">
      <xdr:nvGraphicFramePr>
        <xdr:cNvPr id="165" name="Chart 164">
          <a:extLst>
            <a:ext uri="{FF2B5EF4-FFF2-40B4-BE49-F238E27FC236}">
              <a16:creationId xmlns:a16="http://schemas.microsoft.com/office/drawing/2014/main" id="{00000000-0008-0000-14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63500</xdr:colOff>
      <xdr:row>10</xdr:row>
      <xdr:rowOff>0</xdr:rowOff>
    </xdr:from>
    <xdr:to>
      <xdr:col>12</xdr:col>
      <xdr:colOff>76200</xdr:colOff>
      <xdr:row>10</xdr:row>
      <xdr:rowOff>1562100</xdr:rowOff>
    </xdr:to>
    <xdr:graphicFrame macro="">
      <xdr:nvGraphicFramePr>
        <xdr:cNvPr id="181" name="Chart 180">
          <a:extLst>
            <a:ext uri="{FF2B5EF4-FFF2-40B4-BE49-F238E27FC236}">
              <a16:creationId xmlns:a16="http://schemas.microsoft.com/office/drawing/2014/main" id="{00000000-0008-0000-14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63500</xdr:colOff>
      <xdr:row>10</xdr:row>
      <xdr:rowOff>0</xdr:rowOff>
    </xdr:from>
    <xdr:to>
      <xdr:col>14</xdr:col>
      <xdr:colOff>76200</xdr:colOff>
      <xdr:row>10</xdr:row>
      <xdr:rowOff>1562100</xdr:rowOff>
    </xdr:to>
    <xdr:graphicFrame macro="">
      <xdr:nvGraphicFramePr>
        <xdr:cNvPr id="182" name="Chart 181">
          <a:extLst>
            <a:ext uri="{FF2B5EF4-FFF2-40B4-BE49-F238E27FC236}">
              <a16:creationId xmlns:a16="http://schemas.microsoft.com/office/drawing/2014/main" id="{00000000-0008-0000-1400-0000B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50800</xdr:colOff>
      <xdr:row>72</xdr:row>
      <xdr:rowOff>63500</xdr:rowOff>
    </xdr:from>
    <xdr:to>
      <xdr:col>0</xdr:col>
      <xdr:colOff>251968</xdr:colOff>
      <xdr:row>72</xdr:row>
      <xdr:rowOff>264668</xdr:rowOff>
    </xdr:to>
    <xdr:sp macro="[0]!InfoButton_Click" textlink="">
      <xdr:nvSpPr>
        <xdr:cNvPr id="126" name="btnInfo21">
          <a:extLst>
            <a:ext uri="{FF2B5EF4-FFF2-40B4-BE49-F238E27FC236}">
              <a16:creationId xmlns:a16="http://schemas.microsoft.com/office/drawing/2014/main" id="{00000000-0008-0000-1400-00007E000000}"/>
            </a:ext>
          </a:extLst>
        </xdr:cNvPr>
        <xdr:cNvSpPr/>
      </xdr:nvSpPr>
      <xdr:spPr>
        <a:xfrm>
          <a:off x="50800" y="819404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7</xdr:col>
      <xdr:colOff>421640</xdr:colOff>
      <xdr:row>0</xdr:row>
      <xdr:rowOff>22860</xdr:rowOff>
    </xdr:from>
    <xdr:to>
      <xdr:col>9</xdr:col>
      <xdr:colOff>205740</xdr:colOff>
      <xdr:row>0</xdr:row>
      <xdr:rowOff>439255</xdr:rowOff>
    </xdr:to>
    <xdr:sp macro="" textlink="">
      <xdr:nvSpPr>
        <xdr:cNvPr id="134" name="Rectangle 133">
          <a:extLst>
            <a:ext uri="{FF2B5EF4-FFF2-40B4-BE49-F238E27FC236}">
              <a16:creationId xmlns:a16="http://schemas.microsoft.com/office/drawing/2014/main" id="{00000000-0008-0000-1400-000086000000}"/>
            </a:ext>
          </a:extLst>
        </xdr:cNvPr>
        <xdr:cNvSpPr/>
      </xdr:nvSpPr>
      <xdr:spPr bwMode="auto">
        <a:xfrm>
          <a:off x="8479790" y="22860"/>
          <a:ext cx="2279650" cy="41639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Dashboard Tutorial</a:t>
          </a:r>
        </a:p>
      </xdr:txBody>
    </xdr:sp>
    <xdr:clientData/>
  </xdr:twoCellAnchor>
  <xdr:twoCellAnchor>
    <xdr:from>
      <xdr:col>7</xdr:col>
      <xdr:colOff>243840</xdr:colOff>
      <xdr:row>0</xdr:row>
      <xdr:rowOff>124460</xdr:rowOff>
    </xdr:from>
    <xdr:to>
      <xdr:col>7</xdr:col>
      <xdr:colOff>510540</xdr:colOff>
      <xdr:row>0</xdr:row>
      <xdr:rowOff>394487</xdr:rowOff>
    </xdr:to>
    <xdr:pic macro="[0]!ShowTutorial">
      <xdr:nvPicPr>
        <xdr:cNvPr id="150" name="btnTutorial1" descr="Image result for video icon">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5"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336280" y="124460"/>
          <a:ext cx="266700"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408111</xdr:colOff>
      <xdr:row>0</xdr:row>
      <xdr:rowOff>22860</xdr:rowOff>
    </xdr:from>
    <xdr:to>
      <xdr:col>11</xdr:col>
      <xdr:colOff>1441270</xdr:colOff>
      <xdr:row>0</xdr:row>
      <xdr:rowOff>439255</xdr:rowOff>
    </xdr:to>
    <xdr:sp macro="" textlink="">
      <xdr:nvSpPr>
        <xdr:cNvPr id="151" name="Rectangle 150">
          <a:extLst>
            <a:ext uri="{FF2B5EF4-FFF2-40B4-BE49-F238E27FC236}">
              <a16:creationId xmlns:a16="http://schemas.microsoft.com/office/drawing/2014/main" id="{00000000-0008-0000-1400-000097000000}"/>
            </a:ext>
          </a:extLst>
        </xdr:cNvPr>
        <xdr:cNvSpPr/>
      </xdr:nvSpPr>
      <xdr:spPr bwMode="auto">
        <a:xfrm>
          <a:off x="10961811" y="22860"/>
          <a:ext cx="3528709" cy="41639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Commercial</a:t>
          </a:r>
          <a:r>
            <a:rPr lang="en-US" sz="1800" baseline="0" dirty="0" err="1">
              <a:solidFill>
                <a:schemeClr val="accent2"/>
              </a:solidFill>
              <a:ea typeface="Segoe UI" pitchFamily="34" charset="0"/>
              <a:cs typeface="Segoe UI" pitchFamily="34" charset="0"/>
            </a:rPr>
            <a:t> Segment </a:t>
          </a:r>
          <a:r>
            <a:rPr lang="en-US" sz="1800" dirty="0" err="1">
              <a:solidFill>
                <a:schemeClr val="accent2"/>
              </a:solidFill>
              <a:ea typeface="Segoe UI" pitchFamily="34" charset="0"/>
              <a:cs typeface="Segoe UI" pitchFamily="34" charset="0"/>
            </a:rPr>
            <a:t>Tutorial</a:t>
          </a:r>
        </a:p>
      </xdr:txBody>
    </xdr:sp>
    <xdr:clientData/>
  </xdr:twoCellAnchor>
  <xdr:twoCellAnchor>
    <xdr:from>
      <xdr:col>9</xdr:col>
      <xdr:colOff>214810</xdr:colOff>
      <xdr:row>0</xdr:row>
      <xdr:rowOff>124460</xdr:rowOff>
    </xdr:from>
    <xdr:to>
      <xdr:col>9</xdr:col>
      <xdr:colOff>497141</xdr:colOff>
      <xdr:row>0</xdr:row>
      <xdr:rowOff>394487</xdr:rowOff>
    </xdr:to>
    <xdr:pic macro="[0]!ShowTutorial">
      <xdr:nvPicPr>
        <xdr:cNvPr id="152" name="btnTutorial4" descr="Image result for video icon">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6"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821850" y="124460"/>
          <a:ext cx="282331"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1481568</xdr:colOff>
      <xdr:row>0</xdr:row>
      <xdr:rowOff>0</xdr:rowOff>
    </xdr:from>
    <xdr:to>
      <xdr:col>7</xdr:col>
      <xdr:colOff>539750</xdr:colOff>
      <xdr:row>0</xdr:row>
      <xdr:rowOff>440789</xdr:rowOff>
    </xdr:to>
    <xdr:grpSp>
      <xdr:nvGrpSpPr>
        <xdr:cNvPr id="2" name="Group 1">
          <a:extLst>
            <a:ext uri="{FF2B5EF4-FFF2-40B4-BE49-F238E27FC236}">
              <a16:creationId xmlns:a16="http://schemas.microsoft.com/office/drawing/2014/main" id="{00000000-0008-0000-1500-000002000000}"/>
            </a:ext>
          </a:extLst>
        </xdr:cNvPr>
        <xdr:cNvGrpSpPr/>
      </xdr:nvGrpSpPr>
      <xdr:grpSpPr>
        <a:xfrm>
          <a:off x="7059408" y="0"/>
          <a:ext cx="1572782" cy="440789"/>
          <a:chOff x="15557698" y="121920"/>
          <a:chExt cx="2026919" cy="518160"/>
        </a:xfrm>
      </xdr:grpSpPr>
      <xdr:pic macro="[0]!ToolSave">
        <xdr:nvPicPr>
          <xdr:cNvPr id="3" name="Picture 2" descr="Image result for usb icon">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5560040" y="121920"/>
            <a:ext cx="511053" cy="518160"/>
          </a:xfrm>
          <a:prstGeom prst="rect">
            <a:avLst/>
          </a:prstGeom>
          <a:noFill/>
          <a:extLst>
            <a:ext uri="{909E8E84-426E-40DD-AFC4-6F175D3DCCD1}">
              <a14:hiddenFill xmlns:a14="http://schemas.microsoft.com/office/drawing/2010/main">
                <a:solidFill>
                  <a:srgbClr val="FFFFFF"/>
                </a:solidFill>
              </a14:hiddenFill>
            </a:ext>
          </a:extLst>
        </xdr:spPr>
      </xdr:pic>
      <xdr:sp macro="[0]!ToolSave" textlink="">
        <xdr:nvSpPr>
          <xdr:cNvPr id="4" name="Rectangle 3">
            <a:extLst>
              <a:ext uri="{FF2B5EF4-FFF2-40B4-BE49-F238E27FC236}">
                <a16:creationId xmlns:a16="http://schemas.microsoft.com/office/drawing/2014/main" id="{00000000-0008-0000-1500-000004000000}"/>
              </a:ext>
            </a:extLst>
          </xdr:cNvPr>
          <xdr:cNvSpPr/>
        </xdr:nvSpPr>
        <xdr:spPr bwMode="auto">
          <a:xfrm>
            <a:off x="15557698" y="129008"/>
            <a:ext cx="2026919"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Save</a:t>
            </a:r>
          </a:p>
        </xdr:txBody>
      </xdr:sp>
    </xdr:grpSp>
    <xdr:clientData/>
  </xdr:twoCellAnchor>
  <xdr:twoCellAnchor>
    <xdr:from>
      <xdr:col>4</xdr:col>
      <xdr:colOff>216650</xdr:colOff>
      <xdr:row>0</xdr:row>
      <xdr:rowOff>0</xdr:rowOff>
    </xdr:from>
    <xdr:to>
      <xdr:col>5</xdr:col>
      <xdr:colOff>1836419</xdr:colOff>
      <xdr:row>0</xdr:row>
      <xdr:rowOff>441959</xdr:rowOff>
    </xdr:to>
    <xdr:grpSp>
      <xdr:nvGrpSpPr>
        <xdr:cNvPr id="20" name="Group 19">
          <a:extLst>
            <a:ext uri="{FF2B5EF4-FFF2-40B4-BE49-F238E27FC236}">
              <a16:creationId xmlns:a16="http://schemas.microsoft.com/office/drawing/2014/main" id="{00000000-0008-0000-1500-000014000000}"/>
            </a:ext>
          </a:extLst>
        </xdr:cNvPr>
        <xdr:cNvGrpSpPr/>
      </xdr:nvGrpSpPr>
      <xdr:grpSpPr>
        <a:xfrm>
          <a:off x="5504930" y="0"/>
          <a:ext cx="1909329" cy="441959"/>
          <a:chOff x="22478480" y="1173480"/>
          <a:chExt cx="1905519" cy="502919"/>
        </a:xfrm>
      </xdr:grpSpPr>
      <xdr:grpSp>
        <xdr:nvGrpSpPr>
          <xdr:cNvPr id="21" name="Group 20">
            <a:extLst>
              <a:ext uri="{FF2B5EF4-FFF2-40B4-BE49-F238E27FC236}">
                <a16:creationId xmlns:a16="http://schemas.microsoft.com/office/drawing/2014/main" id="{00000000-0008-0000-1500-000015000000}"/>
              </a:ext>
            </a:extLst>
          </xdr:cNvPr>
          <xdr:cNvGrpSpPr/>
        </xdr:nvGrpSpPr>
        <xdr:grpSpPr>
          <a:xfrm>
            <a:off x="22538576" y="1173480"/>
            <a:ext cx="1611744" cy="453390"/>
            <a:chOff x="9448686" y="91440"/>
            <a:chExt cx="2057514" cy="502920"/>
          </a:xfrm>
        </xdr:grpSpPr>
        <xdr:sp macro="" textlink="">
          <xdr:nvSpPr>
            <xdr:cNvPr id="23" name="Rectangle 22">
              <a:extLst>
                <a:ext uri="{FF2B5EF4-FFF2-40B4-BE49-F238E27FC236}">
                  <a16:creationId xmlns:a16="http://schemas.microsoft.com/office/drawing/2014/main" id="{00000000-0008-0000-1500-000017000000}"/>
                </a:ext>
              </a:extLst>
            </xdr:cNvPr>
            <xdr:cNvSpPr/>
          </xdr:nvSpPr>
          <xdr:spPr bwMode="auto">
            <a:xfrm>
              <a:off x="9479280" y="91440"/>
              <a:ext cx="2026920"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Navigation</a:t>
              </a:r>
            </a:p>
          </xdr:txBody>
        </xdr:sp>
        <xdr:pic>
          <xdr:nvPicPr>
            <xdr:cNvPr id="24" name="Picture 23" descr="Image result for gps icon">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9448686" y="182880"/>
              <a:ext cx="365873" cy="374296"/>
            </a:xfrm>
            <a:prstGeom prst="rect">
              <a:avLst/>
            </a:prstGeom>
            <a:noFill/>
            <a:extLst>
              <a:ext uri="{909E8E84-426E-40DD-AFC4-6F175D3DCCD1}">
                <a14:hiddenFill xmlns:a14="http://schemas.microsoft.com/office/drawing/2010/main">
                  <a:solidFill>
                    <a:srgbClr val="FFFFFF"/>
                  </a:solidFill>
                </a14:hiddenFill>
              </a:ext>
            </a:extLst>
          </xdr:spPr>
        </xdr:pic>
      </xdr:grpSp>
      <xdr:sp macro="[0]!ShowNavigation" textlink="">
        <xdr:nvSpPr>
          <xdr:cNvPr id="22" name="Rectangle 21">
            <a:extLst>
              <a:ext uri="{FF2B5EF4-FFF2-40B4-BE49-F238E27FC236}">
                <a16:creationId xmlns:a16="http://schemas.microsoft.com/office/drawing/2014/main" id="{00000000-0008-0000-1500-000016000000}"/>
              </a:ext>
            </a:extLst>
          </xdr:cNvPr>
          <xdr:cNvSpPr/>
        </xdr:nvSpPr>
        <xdr:spPr bwMode="auto">
          <a:xfrm>
            <a:off x="22478480" y="1202590"/>
            <a:ext cx="1905519" cy="473809"/>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   Navigation</a:t>
            </a:r>
          </a:p>
        </xdr:txBody>
      </xdr:sp>
    </xdr:grpSp>
    <xdr:clientData/>
  </xdr:twoCellAnchor>
  <xdr:twoCellAnchor>
    <xdr:from>
      <xdr:col>4</xdr:col>
      <xdr:colOff>38644</xdr:colOff>
      <xdr:row>68</xdr:row>
      <xdr:rowOff>7473</xdr:rowOff>
    </xdr:from>
    <xdr:to>
      <xdr:col>5</xdr:col>
      <xdr:colOff>0</xdr:colOff>
      <xdr:row>68</xdr:row>
      <xdr:rowOff>300081</xdr:rowOff>
    </xdr:to>
    <xdr:sp macro="[0]!btnPlus" textlink="">
      <xdr:nvSpPr>
        <xdr:cNvPr id="41" name="btnPlus_Dec125">
          <a:extLst>
            <a:ext uri="{FF2B5EF4-FFF2-40B4-BE49-F238E27FC236}">
              <a16:creationId xmlns:a16="http://schemas.microsoft.com/office/drawing/2014/main" id="{00000000-0008-0000-1500-000029000000}"/>
            </a:ext>
          </a:extLst>
        </xdr:cNvPr>
        <xdr:cNvSpPr/>
      </xdr:nvSpPr>
      <xdr:spPr bwMode="auto">
        <a:xfrm>
          <a:off x="5334544" y="18745053"/>
          <a:ext cx="250916"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2636371</xdr:colOff>
      <xdr:row>68</xdr:row>
      <xdr:rowOff>24764</xdr:rowOff>
    </xdr:from>
    <xdr:to>
      <xdr:col>2</xdr:col>
      <xdr:colOff>281029</xdr:colOff>
      <xdr:row>69</xdr:row>
      <xdr:rowOff>12572</xdr:rowOff>
    </xdr:to>
    <xdr:sp macro="[0]!btnMinus" textlink="">
      <xdr:nvSpPr>
        <xdr:cNvPr id="42" name="btnMinus_Dec125">
          <a:extLst>
            <a:ext uri="{FF2B5EF4-FFF2-40B4-BE49-F238E27FC236}">
              <a16:creationId xmlns:a16="http://schemas.microsoft.com/office/drawing/2014/main" id="{00000000-0008-0000-1500-00002A000000}"/>
            </a:ext>
          </a:extLst>
        </xdr:cNvPr>
        <xdr:cNvSpPr/>
      </xdr:nvSpPr>
      <xdr:spPr bwMode="auto">
        <a:xfrm>
          <a:off x="2925931" y="18762344"/>
          <a:ext cx="288798" cy="30022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29119</xdr:colOff>
      <xdr:row>68</xdr:row>
      <xdr:rowOff>7473</xdr:rowOff>
    </xdr:from>
    <xdr:to>
      <xdr:col>9</xdr:col>
      <xdr:colOff>27722</xdr:colOff>
      <xdr:row>68</xdr:row>
      <xdr:rowOff>305796</xdr:rowOff>
    </xdr:to>
    <xdr:sp macro="[0]!btnPlus" textlink="">
      <xdr:nvSpPr>
        <xdr:cNvPr id="43" name="btnPlus_Dec126">
          <a:extLst>
            <a:ext uri="{FF2B5EF4-FFF2-40B4-BE49-F238E27FC236}">
              <a16:creationId xmlns:a16="http://schemas.microsoft.com/office/drawing/2014/main" id="{00000000-0008-0000-1500-00002B000000}"/>
            </a:ext>
          </a:extLst>
        </xdr:cNvPr>
        <xdr:cNvSpPr/>
      </xdr:nvSpPr>
      <xdr:spPr bwMode="auto">
        <a:xfrm>
          <a:off x="10338979" y="18745053"/>
          <a:ext cx="288163" cy="29832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2202031</xdr:colOff>
      <xdr:row>68</xdr:row>
      <xdr:rowOff>24764</xdr:rowOff>
    </xdr:from>
    <xdr:to>
      <xdr:col>6</xdr:col>
      <xdr:colOff>235944</xdr:colOff>
      <xdr:row>68</xdr:row>
      <xdr:rowOff>309752</xdr:rowOff>
    </xdr:to>
    <xdr:sp macro="[0]!btnMinus" textlink="">
      <xdr:nvSpPr>
        <xdr:cNvPr id="44" name="btnMinus_Dec126">
          <a:extLst>
            <a:ext uri="{FF2B5EF4-FFF2-40B4-BE49-F238E27FC236}">
              <a16:creationId xmlns:a16="http://schemas.microsoft.com/office/drawing/2014/main" id="{00000000-0008-0000-1500-00002C000000}"/>
            </a:ext>
          </a:extLst>
        </xdr:cNvPr>
        <xdr:cNvSpPr/>
      </xdr:nvSpPr>
      <xdr:spPr bwMode="auto">
        <a:xfrm>
          <a:off x="7787491" y="18762344"/>
          <a:ext cx="251333" cy="28498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38644</xdr:colOff>
      <xdr:row>68</xdr:row>
      <xdr:rowOff>26523</xdr:rowOff>
    </xdr:from>
    <xdr:to>
      <xdr:col>13</xdr:col>
      <xdr:colOff>37247</xdr:colOff>
      <xdr:row>69</xdr:row>
      <xdr:rowOff>10521</xdr:rowOff>
    </xdr:to>
    <xdr:sp macro="[0]!btnPlus" textlink="">
      <xdr:nvSpPr>
        <xdr:cNvPr id="45" name="btnPlus_Dec127">
          <a:extLst>
            <a:ext uri="{FF2B5EF4-FFF2-40B4-BE49-F238E27FC236}">
              <a16:creationId xmlns:a16="http://schemas.microsoft.com/office/drawing/2014/main" id="{00000000-0008-0000-1500-00002D000000}"/>
            </a:ext>
          </a:extLst>
        </xdr:cNvPr>
        <xdr:cNvSpPr/>
      </xdr:nvSpPr>
      <xdr:spPr bwMode="auto">
        <a:xfrm>
          <a:off x="15362464" y="18764103"/>
          <a:ext cx="288163" cy="29641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2211556</xdr:colOff>
      <xdr:row>68</xdr:row>
      <xdr:rowOff>43814</xdr:rowOff>
    </xdr:from>
    <xdr:to>
      <xdr:col>10</xdr:col>
      <xdr:colOff>245469</xdr:colOff>
      <xdr:row>69</xdr:row>
      <xdr:rowOff>14477</xdr:rowOff>
    </xdr:to>
    <xdr:sp macro="[0]!btnMinus" textlink="">
      <xdr:nvSpPr>
        <xdr:cNvPr id="46" name="btnMinus_Dec127">
          <a:extLst>
            <a:ext uri="{FF2B5EF4-FFF2-40B4-BE49-F238E27FC236}">
              <a16:creationId xmlns:a16="http://schemas.microsoft.com/office/drawing/2014/main" id="{00000000-0008-0000-1500-00002E000000}"/>
            </a:ext>
          </a:extLst>
        </xdr:cNvPr>
        <xdr:cNvSpPr/>
      </xdr:nvSpPr>
      <xdr:spPr bwMode="auto">
        <a:xfrm>
          <a:off x="12810976" y="18781394"/>
          <a:ext cx="251333" cy="283083"/>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141211</xdr:colOff>
      <xdr:row>7</xdr:row>
      <xdr:rowOff>251883</xdr:rowOff>
    </xdr:from>
    <xdr:to>
      <xdr:col>1</xdr:col>
      <xdr:colOff>537451</xdr:colOff>
      <xdr:row>10</xdr:row>
      <xdr:rowOff>137583</xdr:rowOff>
    </xdr:to>
    <xdr:grpSp>
      <xdr:nvGrpSpPr>
        <xdr:cNvPr id="8" name="Group 7">
          <a:extLst>
            <a:ext uri="{FF2B5EF4-FFF2-40B4-BE49-F238E27FC236}">
              <a16:creationId xmlns:a16="http://schemas.microsoft.com/office/drawing/2014/main" id="{00000000-0008-0000-1500-000008000000}"/>
            </a:ext>
          </a:extLst>
        </xdr:cNvPr>
        <xdr:cNvGrpSpPr/>
      </xdr:nvGrpSpPr>
      <xdr:grpSpPr>
        <a:xfrm>
          <a:off x="141211" y="2385483"/>
          <a:ext cx="685800" cy="708660"/>
          <a:chOff x="77711" y="1476163"/>
          <a:chExt cx="685800" cy="685800"/>
        </a:xfrm>
      </xdr:grpSpPr>
      <xdr:sp macro="" textlink="">
        <xdr:nvSpPr>
          <xdr:cNvPr id="27" name="Oval 26">
            <a:extLst>
              <a:ext uri="{FF2B5EF4-FFF2-40B4-BE49-F238E27FC236}">
                <a16:creationId xmlns:a16="http://schemas.microsoft.com/office/drawing/2014/main" id="{00000000-0008-0000-1500-00001B000000}"/>
              </a:ext>
            </a:extLst>
          </xdr:cNvPr>
          <xdr:cNvSpPr/>
        </xdr:nvSpPr>
        <xdr:spPr bwMode="auto">
          <a:xfrm>
            <a:off x="77711" y="1476163"/>
            <a:ext cx="685800" cy="685800"/>
          </a:xfrm>
          <a:prstGeom prst="ellipse">
            <a:avLst/>
          </a:prstGeom>
          <a:solidFill>
            <a:sysClr val="window" lastClr="FFFFFF"/>
          </a:solidFill>
          <a:ln w="19050">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l" defTabSz="932472" fontAlgn="base">
              <a:lnSpc>
                <a:spcPct val="90000"/>
              </a:lnSpc>
              <a:spcBef>
                <a:spcPct val="0"/>
              </a:spcBef>
              <a:spcAft>
                <a:spcPct val="0"/>
              </a:spcAft>
            </a:pPr>
            <a:endParaRPr lang="en-US" sz="2400" dirty="0" err="1">
              <a:solidFill>
                <a:schemeClr val="tx2"/>
              </a:solidFill>
              <a:ea typeface="Segoe UI" pitchFamily="34" charset="0"/>
              <a:cs typeface="Segoe UI" pitchFamily="34" charset="0"/>
            </a:endParaRPr>
          </a:p>
        </xdr:txBody>
      </xdr:sp>
      <xdr:pic>
        <xdr:nvPicPr>
          <xdr:cNvPr id="71" name="Picture 70" descr="Image result for shopping bags icon">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3"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01383" y="1602644"/>
            <a:ext cx="399567" cy="40050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36739</xdr:colOff>
      <xdr:row>88</xdr:row>
      <xdr:rowOff>0</xdr:rowOff>
    </xdr:from>
    <xdr:to>
      <xdr:col>5</xdr:col>
      <xdr:colOff>37247</xdr:colOff>
      <xdr:row>88</xdr:row>
      <xdr:rowOff>290556</xdr:rowOff>
    </xdr:to>
    <xdr:sp macro="[0]!btnPlus" textlink="">
      <xdr:nvSpPr>
        <xdr:cNvPr id="91" name="btnPlus_Dec129">
          <a:extLst>
            <a:ext uri="{FF2B5EF4-FFF2-40B4-BE49-F238E27FC236}">
              <a16:creationId xmlns:a16="http://schemas.microsoft.com/office/drawing/2014/main" id="{00000000-0008-0000-1500-00005B000000}"/>
            </a:ext>
          </a:extLst>
        </xdr:cNvPr>
        <xdr:cNvSpPr/>
      </xdr:nvSpPr>
      <xdr:spPr bwMode="auto">
        <a:xfrm>
          <a:off x="7839619" y="30296973"/>
          <a:ext cx="290068" cy="29070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2575411</xdr:colOff>
      <xdr:row>88</xdr:row>
      <xdr:rowOff>9524</xdr:rowOff>
    </xdr:from>
    <xdr:to>
      <xdr:col>2</xdr:col>
      <xdr:colOff>216259</xdr:colOff>
      <xdr:row>88</xdr:row>
      <xdr:rowOff>302132</xdr:rowOff>
    </xdr:to>
    <xdr:sp macro="[0]!btnMinus" textlink="">
      <xdr:nvSpPr>
        <xdr:cNvPr id="92" name="btnMinus_Dec129">
          <a:extLst>
            <a:ext uri="{FF2B5EF4-FFF2-40B4-BE49-F238E27FC236}">
              <a16:creationId xmlns:a16="http://schemas.microsoft.com/office/drawing/2014/main" id="{00000000-0008-0000-1500-00005C000000}"/>
            </a:ext>
          </a:extLst>
        </xdr:cNvPr>
        <xdr:cNvSpPr/>
      </xdr:nvSpPr>
      <xdr:spPr bwMode="auto">
        <a:xfrm>
          <a:off x="2864971" y="985456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36739</xdr:colOff>
      <xdr:row>87</xdr:row>
      <xdr:rowOff>312273</xdr:rowOff>
    </xdr:from>
    <xdr:to>
      <xdr:col>9</xdr:col>
      <xdr:colOff>37247</xdr:colOff>
      <xdr:row>88</xdr:row>
      <xdr:rowOff>290556</xdr:rowOff>
    </xdr:to>
    <xdr:sp macro="[0]!btnPlus" textlink="">
      <xdr:nvSpPr>
        <xdr:cNvPr id="93" name="btnPlus_Dec130">
          <a:extLst>
            <a:ext uri="{FF2B5EF4-FFF2-40B4-BE49-F238E27FC236}">
              <a16:creationId xmlns:a16="http://schemas.microsoft.com/office/drawing/2014/main" id="{00000000-0008-0000-1500-00005D000000}"/>
            </a:ext>
          </a:extLst>
        </xdr:cNvPr>
        <xdr:cNvSpPr/>
      </xdr:nvSpPr>
      <xdr:spPr bwMode="auto">
        <a:xfrm>
          <a:off x="7839619" y="30921813"/>
          <a:ext cx="290068" cy="290703"/>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2179171</xdr:colOff>
      <xdr:row>88</xdr:row>
      <xdr:rowOff>9524</xdr:rowOff>
    </xdr:from>
    <xdr:to>
      <xdr:col>6</xdr:col>
      <xdr:colOff>249279</xdr:colOff>
      <xdr:row>88</xdr:row>
      <xdr:rowOff>302132</xdr:rowOff>
    </xdr:to>
    <xdr:sp macro="[0]!btnMinus" textlink="">
      <xdr:nvSpPr>
        <xdr:cNvPr id="94" name="btnMinus_Dec130">
          <a:extLst>
            <a:ext uri="{FF2B5EF4-FFF2-40B4-BE49-F238E27FC236}">
              <a16:creationId xmlns:a16="http://schemas.microsoft.com/office/drawing/2014/main" id="{00000000-0008-0000-1500-00005E000000}"/>
            </a:ext>
          </a:extLst>
        </xdr:cNvPr>
        <xdr:cNvSpPr/>
      </xdr:nvSpPr>
      <xdr:spPr bwMode="auto">
        <a:xfrm>
          <a:off x="5295751" y="30931484"/>
          <a:ext cx="24942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947056</xdr:colOff>
      <xdr:row>14</xdr:row>
      <xdr:rowOff>257993</xdr:rowOff>
    </xdr:from>
    <xdr:to>
      <xdr:col>5</xdr:col>
      <xdr:colOff>870856</xdr:colOff>
      <xdr:row>16</xdr:row>
      <xdr:rowOff>7041</xdr:rowOff>
    </xdr:to>
    <xdr:sp macro="[0]!btnLevel.btnLevel" textlink="">
      <xdr:nvSpPr>
        <xdr:cNvPr id="62" name="btnLevelS24B0">
          <a:extLst>
            <a:ext uri="{FF2B5EF4-FFF2-40B4-BE49-F238E27FC236}">
              <a16:creationId xmlns:a16="http://schemas.microsoft.com/office/drawing/2014/main" id="{00000000-0008-0000-1500-00003E000000}"/>
            </a:ext>
          </a:extLst>
        </xdr:cNvPr>
        <xdr:cNvSpPr/>
      </xdr:nvSpPr>
      <xdr:spPr bwMode="auto">
        <a:xfrm>
          <a:off x="4172856" y="4347393"/>
          <a:ext cx="2286000" cy="3840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a:t>
          </a: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5</xdr:col>
      <xdr:colOff>1161904</xdr:colOff>
      <xdr:row>14</xdr:row>
      <xdr:rowOff>257993</xdr:rowOff>
    </xdr:from>
    <xdr:to>
      <xdr:col>7</xdr:col>
      <xdr:colOff>940924</xdr:colOff>
      <xdr:row>16</xdr:row>
      <xdr:rowOff>7041</xdr:rowOff>
    </xdr:to>
    <xdr:sp macro="[0]!btnLevel.btnLevel" textlink="">
      <xdr:nvSpPr>
        <xdr:cNvPr id="63" name="btnLevelS24B1">
          <a:extLst>
            <a:ext uri="{FF2B5EF4-FFF2-40B4-BE49-F238E27FC236}">
              <a16:creationId xmlns:a16="http://schemas.microsoft.com/office/drawing/2014/main" id="{00000000-0008-0000-1500-00003F000000}"/>
            </a:ext>
          </a:extLst>
        </xdr:cNvPr>
        <xdr:cNvSpPr/>
      </xdr:nvSpPr>
      <xdr:spPr bwMode="auto">
        <a:xfrm>
          <a:off x="6749904" y="4347393"/>
          <a:ext cx="2293620" cy="3840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7</xdr:col>
      <xdr:colOff>1231972</xdr:colOff>
      <xdr:row>14</xdr:row>
      <xdr:rowOff>257993</xdr:rowOff>
    </xdr:from>
    <xdr:to>
      <xdr:col>9</xdr:col>
      <xdr:colOff>1010992</xdr:colOff>
      <xdr:row>15</xdr:row>
      <xdr:rowOff>309301</xdr:rowOff>
    </xdr:to>
    <xdr:sp macro="[0]!btnLevel.btnLevel" textlink="">
      <xdr:nvSpPr>
        <xdr:cNvPr id="64" name="btnLevelS24B2">
          <a:extLst>
            <a:ext uri="{FF2B5EF4-FFF2-40B4-BE49-F238E27FC236}">
              <a16:creationId xmlns:a16="http://schemas.microsoft.com/office/drawing/2014/main" id="{00000000-0008-0000-1500-000040000000}"/>
            </a:ext>
          </a:extLst>
        </xdr:cNvPr>
        <xdr:cNvSpPr/>
      </xdr:nvSpPr>
      <xdr:spPr bwMode="auto">
        <a:xfrm>
          <a:off x="9334572" y="4347393"/>
          <a:ext cx="2293620" cy="368808"/>
        </a:xfrm>
        <a:prstGeom prst="rect">
          <a:avLst/>
        </a:prstGeom>
        <a:solidFill>
          <a:srgbClr val="5C2D9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Maintain</a:t>
          </a:r>
        </a:p>
      </xdr:txBody>
    </xdr:sp>
    <xdr:clientData/>
  </xdr:twoCellAnchor>
  <xdr:twoCellAnchor>
    <xdr:from>
      <xdr:col>3</xdr:col>
      <xdr:colOff>947056</xdr:colOff>
      <xdr:row>17</xdr:row>
      <xdr:rowOff>295728</xdr:rowOff>
    </xdr:from>
    <xdr:to>
      <xdr:col>5</xdr:col>
      <xdr:colOff>870856</xdr:colOff>
      <xdr:row>19</xdr:row>
      <xdr:rowOff>44776</xdr:rowOff>
    </xdr:to>
    <xdr:sp macro="[0]!btnLevel.btnLevel" textlink="">
      <xdr:nvSpPr>
        <xdr:cNvPr id="65" name="btnLevelS25B0">
          <a:extLst>
            <a:ext uri="{FF2B5EF4-FFF2-40B4-BE49-F238E27FC236}">
              <a16:creationId xmlns:a16="http://schemas.microsoft.com/office/drawing/2014/main" id="{00000000-0008-0000-1500-000041000000}"/>
            </a:ext>
          </a:extLst>
        </xdr:cNvPr>
        <xdr:cNvSpPr/>
      </xdr:nvSpPr>
      <xdr:spPr bwMode="auto">
        <a:xfrm>
          <a:off x="4172856" y="5337628"/>
          <a:ext cx="2286000" cy="3840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Decrease</a:t>
          </a:r>
          <a:endPar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endParaRPr>
        </a:p>
      </xdr:txBody>
    </xdr:sp>
    <xdr:clientData/>
  </xdr:twoCellAnchor>
  <xdr:twoCellAnchor>
    <xdr:from>
      <xdr:col>5</xdr:col>
      <xdr:colOff>1161904</xdr:colOff>
      <xdr:row>17</xdr:row>
      <xdr:rowOff>295728</xdr:rowOff>
    </xdr:from>
    <xdr:to>
      <xdr:col>7</xdr:col>
      <xdr:colOff>940924</xdr:colOff>
      <xdr:row>19</xdr:row>
      <xdr:rowOff>44776</xdr:rowOff>
    </xdr:to>
    <xdr:sp macro="[0]!btnLevel.btnLevel" textlink="">
      <xdr:nvSpPr>
        <xdr:cNvPr id="66" name="btnLevelS25B1">
          <a:extLst>
            <a:ext uri="{FF2B5EF4-FFF2-40B4-BE49-F238E27FC236}">
              <a16:creationId xmlns:a16="http://schemas.microsoft.com/office/drawing/2014/main" id="{00000000-0008-0000-1500-000042000000}"/>
            </a:ext>
          </a:extLst>
        </xdr:cNvPr>
        <xdr:cNvSpPr/>
      </xdr:nvSpPr>
      <xdr:spPr bwMode="auto">
        <a:xfrm>
          <a:off x="6749904" y="5337628"/>
          <a:ext cx="2293620" cy="3840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Decrease</a:t>
          </a:r>
        </a:p>
      </xdr:txBody>
    </xdr:sp>
    <xdr:clientData/>
  </xdr:twoCellAnchor>
  <xdr:twoCellAnchor>
    <xdr:from>
      <xdr:col>7</xdr:col>
      <xdr:colOff>1231972</xdr:colOff>
      <xdr:row>17</xdr:row>
      <xdr:rowOff>295728</xdr:rowOff>
    </xdr:from>
    <xdr:to>
      <xdr:col>9</xdr:col>
      <xdr:colOff>1010992</xdr:colOff>
      <xdr:row>19</xdr:row>
      <xdr:rowOff>44776</xdr:rowOff>
    </xdr:to>
    <xdr:sp macro="[0]!btnLevel.btnLevel" textlink="">
      <xdr:nvSpPr>
        <xdr:cNvPr id="67" name="btnLevelS25B2">
          <a:extLst>
            <a:ext uri="{FF2B5EF4-FFF2-40B4-BE49-F238E27FC236}">
              <a16:creationId xmlns:a16="http://schemas.microsoft.com/office/drawing/2014/main" id="{00000000-0008-0000-1500-000043000000}"/>
            </a:ext>
          </a:extLst>
        </xdr:cNvPr>
        <xdr:cNvSpPr/>
      </xdr:nvSpPr>
      <xdr:spPr bwMode="auto">
        <a:xfrm>
          <a:off x="9334572" y="5337628"/>
          <a:ext cx="2293620" cy="384048"/>
        </a:xfrm>
        <a:prstGeom prst="rect">
          <a:avLst/>
        </a:prstGeom>
        <a:solidFill>
          <a:srgbClr val="5C2D91"/>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Maintain</a:t>
          </a:r>
        </a:p>
      </xdr:txBody>
    </xdr:sp>
    <xdr:clientData/>
  </xdr:twoCellAnchor>
  <xdr:twoCellAnchor>
    <xdr:from>
      <xdr:col>4</xdr:col>
      <xdr:colOff>279400</xdr:colOff>
      <xdr:row>11</xdr:row>
      <xdr:rowOff>106680</xdr:rowOff>
    </xdr:from>
    <xdr:to>
      <xdr:col>5</xdr:col>
      <xdr:colOff>2082800</xdr:colOff>
      <xdr:row>11</xdr:row>
      <xdr:rowOff>665879</xdr:rowOff>
    </xdr:to>
    <xdr:sp macro="[0]!NavButtons" textlink="">
      <xdr:nvSpPr>
        <xdr:cNvPr id="89" name="NavConsumer1">
          <a:extLst>
            <a:ext uri="{FF2B5EF4-FFF2-40B4-BE49-F238E27FC236}">
              <a16:creationId xmlns:a16="http://schemas.microsoft.com/office/drawing/2014/main" id="{00000000-0008-0000-1500-000059000000}"/>
            </a:ext>
          </a:extLst>
        </xdr:cNvPr>
        <xdr:cNvSpPr/>
      </xdr:nvSpPr>
      <xdr:spPr bwMode="auto">
        <a:xfrm>
          <a:off x="5582920" y="2971800"/>
          <a:ext cx="2092960" cy="559199"/>
        </a:xfrm>
        <a:prstGeom prst="rect">
          <a:avLst/>
        </a:prstGeom>
        <a:solidFill>
          <a:srgbClr val="FFFFFF"/>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333399" mc:Ignorable="a14" a14:legacySpreadsheetColorIndex="62"/>
              </a:solidFill>
              <a:latin typeface="+mj-lt"/>
              <a:ea typeface="Segoe UI" pitchFamily="34" charset="0"/>
              <a:cs typeface="Segoe UI" pitchFamily="34" charset="0"/>
            </a:rPr>
            <a:t>Pricing</a:t>
          </a:r>
          <a:r>
            <a:rPr lang="en-US" sz="1600" b="0" baseline="0" dirty="0" err="1">
              <a:solidFill>
                <a:srgbClr xmlns:mc="http://schemas.openxmlformats.org/markup-compatibility/2006" xmlns:a14="http://schemas.microsoft.com/office/drawing/2010/main" val="333399" mc:Ignorable="a14" a14:legacySpreadsheetColorIndex="62"/>
              </a:solidFill>
              <a:latin typeface="+mj-lt"/>
              <a:ea typeface="Segoe UI" pitchFamily="34" charset="0"/>
              <a:cs typeface="Segoe UI" pitchFamily="34" charset="0"/>
            </a:rPr>
            <a:t> &amp; Forecasting</a:t>
          </a:r>
          <a:endParaRPr lang="en-US" sz="1600" b="0" dirty="0" err="1">
            <a:solidFill>
              <a:srgbClr xmlns:mc="http://schemas.openxmlformats.org/markup-compatibility/2006" xmlns:a14="http://schemas.microsoft.com/office/drawing/2010/main" val="333399" mc:Ignorable="a14" a14:legacySpreadsheetColorIndex="62"/>
            </a:solidFill>
            <a:latin typeface="+mj-lt"/>
            <a:ea typeface="Segoe UI" pitchFamily="34" charset="0"/>
            <a:cs typeface="Segoe UI" pitchFamily="34" charset="0"/>
          </a:endParaRPr>
        </a:p>
      </xdr:txBody>
    </xdr:sp>
    <xdr:clientData/>
  </xdr:twoCellAnchor>
  <xdr:twoCellAnchor>
    <xdr:from>
      <xdr:col>7</xdr:col>
      <xdr:colOff>66905</xdr:colOff>
      <xdr:row>11</xdr:row>
      <xdr:rowOff>106680</xdr:rowOff>
    </xdr:from>
    <xdr:to>
      <xdr:col>7</xdr:col>
      <xdr:colOff>2169997</xdr:colOff>
      <xdr:row>11</xdr:row>
      <xdr:rowOff>665879</xdr:rowOff>
    </xdr:to>
    <xdr:sp macro="[0]!NavButtons" textlink="">
      <xdr:nvSpPr>
        <xdr:cNvPr id="90" name="NavConsumer2">
          <a:extLst>
            <a:ext uri="{FF2B5EF4-FFF2-40B4-BE49-F238E27FC236}">
              <a16:creationId xmlns:a16="http://schemas.microsoft.com/office/drawing/2014/main" id="{00000000-0008-0000-1500-00005A000000}"/>
            </a:ext>
          </a:extLst>
        </xdr:cNvPr>
        <xdr:cNvSpPr/>
      </xdr:nvSpPr>
      <xdr:spPr bwMode="auto">
        <a:xfrm>
          <a:off x="8174585" y="2971800"/>
          <a:ext cx="2103092"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Talent Development</a:t>
          </a:r>
        </a:p>
      </xdr:txBody>
    </xdr:sp>
    <xdr:clientData/>
  </xdr:twoCellAnchor>
  <xdr:twoCellAnchor>
    <xdr:from>
      <xdr:col>9</xdr:col>
      <xdr:colOff>154102</xdr:colOff>
      <xdr:row>11</xdr:row>
      <xdr:rowOff>106680</xdr:rowOff>
    </xdr:from>
    <xdr:to>
      <xdr:col>10</xdr:col>
      <xdr:colOff>34694</xdr:colOff>
      <xdr:row>11</xdr:row>
      <xdr:rowOff>665879</xdr:rowOff>
    </xdr:to>
    <xdr:sp macro="[0]!NavButtons" textlink="">
      <xdr:nvSpPr>
        <xdr:cNvPr id="95" name="NavConsumer3">
          <a:extLst>
            <a:ext uri="{FF2B5EF4-FFF2-40B4-BE49-F238E27FC236}">
              <a16:creationId xmlns:a16="http://schemas.microsoft.com/office/drawing/2014/main" id="{00000000-0008-0000-1500-00005F000000}"/>
            </a:ext>
          </a:extLst>
        </xdr:cNvPr>
        <xdr:cNvSpPr/>
      </xdr:nvSpPr>
      <xdr:spPr bwMode="auto">
        <a:xfrm>
          <a:off x="10776382" y="2971800"/>
          <a:ext cx="2105632"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Sales &amp; Services</a:t>
          </a:r>
        </a:p>
      </xdr:txBody>
    </xdr:sp>
    <xdr:clientData/>
  </xdr:twoCellAnchor>
  <xdr:twoCellAnchor>
    <xdr:from>
      <xdr:col>2</xdr:col>
      <xdr:colOff>10883</xdr:colOff>
      <xdr:row>76</xdr:row>
      <xdr:rowOff>7620</xdr:rowOff>
    </xdr:from>
    <xdr:to>
      <xdr:col>3</xdr:col>
      <xdr:colOff>9577</xdr:colOff>
      <xdr:row>76</xdr:row>
      <xdr:rowOff>300228</xdr:rowOff>
    </xdr:to>
    <xdr:sp macro="[0]!btnLevel.btnLevel" textlink="">
      <xdr:nvSpPr>
        <xdr:cNvPr id="61" name="btnLevelS26B0">
          <a:extLst>
            <a:ext uri="{FF2B5EF4-FFF2-40B4-BE49-F238E27FC236}">
              <a16:creationId xmlns:a16="http://schemas.microsoft.com/office/drawing/2014/main" id="{00000000-0008-0000-1500-00003D000000}"/>
            </a:ext>
          </a:extLst>
        </xdr:cNvPr>
        <xdr:cNvSpPr/>
      </xdr:nvSpPr>
      <xdr:spPr>
        <a:xfrm>
          <a:off x="2944583" y="21450300"/>
          <a:ext cx="288254"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184294</xdr:colOff>
      <xdr:row>76</xdr:row>
      <xdr:rowOff>7620</xdr:rowOff>
    </xdr:from>
    <xdr:to>
      <xdr:col>3</xdr:col>
      <xdr:colOff>476902</xdr:colOff>
      <xdr:row>76</xdr:row>
      <xdr:rowOff>300228</xdr:rowOff>
    </xdr:to>
    <xdr:sp macro="[0]!btnLevel.btnLevel" textlink="">
      <xdr:nvSpPr>
        <xdr:cNvPr id="68" name="btnLevelS26B1">
          <a:extLst>
            <a:ext uri="{FF2B5EF4-FFF2-40B4-BE49-F238E27FC236}">
              <a16:creationId xmlns:a16="http://schemas.microsoft.com/office/drawing/2014/main" id="{00000000-0008-0000-1500-000044000000}"/>
            </a:ext>
          </a:extLst>
        </xdr:cNvPr>
        <xdr:cNvSpPr/>
      </xdr:nvSpPr>
      <xdr:spPr>
        <a:xfrm>
          <a:off x="3407554" y="21450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651619</xdr:colOff>
      <xdr:row>76</xdr:row>
      <xdr:rowOff>7620</xdr:rowOff>
    </xdr:from>
    <xdr:to>
      <xdr:col>3</xdr:col>
      <xdr:colOff>944227</xdr:colOff>
      <xdr:row>76</xdr:row>
      <xdr:rowOff>300228</xdr:rowOff>
    </xdr:to>
    <xdr:sp macro="[0]!btnLevel.btnLevel" textlink="">
      <xdr:nvSpPr>
        <xdr:cNvPr id="76" name="btnLevelS26B2">
          <a:extLst>
            <a:ext uri="{FF2B5EF4-FFF2-40B4-BE49-F238E27FC236}">
              <a16:creationId xmlns:a16="http://schemas.microsoft.com/office/drawing/2014/main" id="{00000000-0008-0000-1500-00004C000000}"/>
            </a:ext>
          </a:extLst>
        </xdr:cNvPr>
        <xdr:cNvSpPr/>
      </xdr:nvSpPr>
      <xdr:spPr>
        <a:xfrm>
          <a:off x="3874879" y="21450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3</xdr:col>
      <xdr:colOff>1118944</xdr:colOff>
      <xdr:row>76</xdr:row>
      <xdr:rowOff>7620</xdr:rowOff>
    </xdr:from>
    <xdr:to>
      <xdr:col>3</xdr:col>
      <xdr:colOff>1411552</xdr:colOff>
      <xdr:row>76</xdr:row>
      <xdr:rowOff>300228</xdr:rowOff>
    </xdr:to>
    <xdr:sp macro="[0]!btnLevel.btnLevel" textlink="">
      <xdr:nvSpPr>
        <xdr:cNvPr id="78" name="btnLevelS26B3">
          <a:extLst>
            <a:ext uri="{FF2B5EF4-FFF2-40B4-BE49-F238E27FC236}">
              <a16:creationId xmlns:a16="http://schemas.microsoft.com/office/drawing/2014/main" id="{00000000-0008-0000-1500-00004E000000}"/>
            </a:ext>
          </a:extLst>
        </xdr:cNvPr>
        <xdr:cNvSpPr/>
      </xdr:nvSpPr>
      <xdr:spPr>
        <a:xfrm>
          <a:off x="4342204" y="21450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3</xdr:col>
      <xdr:colOff>1586269</xdr:colOff>
      <xdr:row>76</xdr:row>
      <xdr:rowOff>7620</xdr:rowOff>
    </xdr:from>
    <xdr:to>
      <xdr:col>3</xdr:col>
      <xdr:colOff>1878877</xdr:colOff>
      <xdr:row>76</xdr:row>
      <xdr:rowOff>300228</xdr:rowOff>
    </xdr:to>
    <xdr:sp macro="[0]!btnLevel.btnLevel" textlink="">
      <xdr:nvSpPr>
        <xdr:cNvPr id="80" name="btnLevelS26B4">
          <a:extLst>
            <a:ext uri="{FF2B5EF4-FFF2-40B4-BE49-F238E27FC236}">
              <a16:creationId xmlns:a16="http://schemas.microsoft.com/office/drawing/2014/main" id="{00000000-0008-0000-1500-000050000000}"/>
            </a:ext>
          </a:extLst>
        </xdr:cNvPr>
        <xdr:cNvSpPr/>
      </xdr:nvSpPr>
      <xdr:spPr>
        <a:xfrm>
          <a:off x="4809529" y="2145030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3</xdr:col>
      <xdr:colOff>2053594</xdr:colOff>
      <xdr:row>76</xdr:row>
      <xdr:rowOff>7620</xdr:rowOff>
    </xdr:from>
    <xdr:to>
      <xdr:col>4</xdr:col>
      <xdr:colOff>277916</xdr:colOff>
      <xdr:row>76</xdr:row>
      <xdr:rowOff>300228</xdr:rowOff>
    </xdr:to>
    <xdr:sp macro="[0]!btnLevel.btnLevel" textlink="">
      <xdr:nvSpPr>
        <xdr:cNvPr id="82" name="btnLevelS26B5">
          <a:extLst>
            <a:ext uri="{FF2B5EF4-FFF2-40B4-BE49-F238E27FC236}">
              <a16:creationId xmlns:a16="http://schemas.microsoft.com/office/drawing/2014/main" id="{00000000-0008-0000-1500-000052000000}"/>
            </a:ext>
          </a:extLst>
        </xdr:cNvPr>
        <xdr:cNvSpPr/>
      </xdr:nvSpPr>
      <xdr:spPr>
        <a:xfrm>
          <a:off x="5276854" y="21450300"/>
          <a:ext cx="29696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6</xdr:col>
      <xdr:colOff>0</xdr:colOff>
      <xdr:row>76</xdr:row>
      <xdr:rowOff>0</xdr:rowOff>
    </xdr:from>
    <xdr:to>
      <xdr:col>6</xdr:col>
      <xdr:colOff>292608</xdr:colOff>
      <xdr:row>76</xdr:row>
      <xdr:rowOff>292608</xdr:rowOff>
    </xdr:to>
    <xdr:sp macro="[0]!btnLevel.btnLevel" textlink="">
      <xdr:nvSpPr>
        <xdr:cNvPr id="86" name="btnLevelS27B0">
          <a:extLst>
            <a:ext uri="{FF2B5EF4-FFF2-40B4-BE49-F238E27FC236}">
              <a16:creationId xmlns:a16="http://schemas.microsoft.com/office/drawing/2014/main" id="{00000000-0008-0000-1500-000056000000}"/>
            </a:ext>
          </a:extLst>
        </xdr:cNvPr>
        <xdr:cNvSpPr/>
      </xdr:nvSpPr>
      <xdr:spPr>
        <a:xfrm>
          <a:off x="7802880" y="2144268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7</xdr:col>
      <xdr:colOff>173411</xdr:colOff>
      <xdr:row>76</xdr:row>
      <xdr:rowOff>0</xdr:rowOff>
    </xdr:from>
    <xdr:to>
      <xdr:col>7</xdr:col>
      <xdr:colOff>466019</xdr:colOff>
      <xdr:row>76</xdr:row>
      <xdr:rowOff>292608</xdr:rowOff>
    </xdr:to>
    <xdr:sp macro="[0]!btnLevel.btnLevel" textlink="">
      <xdr:nvSpPr>
        <xdr:cNvPr id="87" name="btnLevelS27B1">
          <a:extLst>
            <a:ext uri="{FF2B5EF4-FFF2-40B4-BE49-F238E27FC236}">
              <a16:creationId xmlns:a16="http://schemas.microsoft.com/office/drawing/2014/main" id="{00000000-0008-0000-1500-000057000000}"/>
            </a:ext>
          </a:extLst>
        </xdr:cNvPr>
        <xdr:cNvSpPr/>
      </xdr:nvSpPr>
      <xdr:spPr>
        <a:xfrm>
          <a:off x="8265851"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7</xdr:col>
      <xdr:colOff>640736</xdr:colOff>
      <xdr:row>76</xdr:row>
      <xdr:rowOff>0</xdr:rowOff>
    </xdr:from>
    <xdr:to>
      <xdr:col>7</xdr:col>
      <xdr:colOff>933344</xdr:colOff>
      <xdr:row>76</xdr:row>
      <xdr:rowOff>292608</xdr:rowOff>
    </xdr:to>
    <xdr:sp macro="[0]!btnLevel.btnLevel" textlink="">
      <xdr:nvSpPr>
        <xdr:cNvPr id="88" name="btnLevelS27B2">
          <a:extLst>
            <a:ext uri="{FF2B5EF4-FFF2-40B4-BE49-F238E27FC236}">
              <a16:creationId xmlns:a16="http://schemas.microsoft.com/office/drawing/2014/main" id="{00000000-0008-0000-1500-000058000000}"/>
            </a:ext>
          </a:extLst>
        </xdr:cNvPr>
        <xdr:cNvSpPr/>
      </xdr:nvSpPr>
      <xdr:spPr>
        <a:xfrm>
          <a:off x="8733176"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7</xdr:col>
      <xdr:colOff>1108061</xdr:colOff>
      <xdr:row>76</xdr:row>
      <xdr:rowOff>0</xdr:rowOff>
    </xdr:from>
    <xdr:to>
      <xdr:col>7</xdr:col>
      <xdr:colOff>1400669</xdr:colOff>
      <xdr:row>76</xdr:row>
      <xdr:rowOff>292608</xdr:rowOff>
    </xdr:to>
    <xdr:sp macro="[0]!btnLevel.btnLevel" textlink="">
      <xdr:nvSpPr>
        <xdr:cNvPr id="97" name="btnLevelS27B3">
          <a:extLst>
            <a:ext uri="{FF2B5EF4-FFF2-40B4-BE49-F238E27FC236}">
              <a16:creationId xmlns:a16="http://schemas.microsoft.com/office/drawing/2014/main" id="{00000000-0008-0000-1500-000061000000}"/>
            </a:ext>
          </a:extLst>
        </xdr:cNvPr>
        <xdr:cNvSpPr/>
      </xdr:nvSpPr>
      <xdr:spPr>
        <a:xfrm>
          <a:off x="9200501"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7</xdr:col>
      <xdr:colOff>1575386</xdr:colOff>
      <xdr:row>76</xdr:row>
      <xdr:rowOff>0</xdr:rowOff>
    </xdr:from>
    <xdr:to>
      <xdr:col>7</xdr:col>
      <xdr:colOff>1867994</xdr:colOff>
      <xdr:row>76</xdr:row>
      <xdr:rowOff>292608</xdr:rowOff>
    </xdr:to>
    <xdr:sp macro="[0]!btnLevel.btnLevel" textlink="">
      <xdr:nvSpPr>
        <xdr:cNvPr id="98" name="btnLevelS27B4">
          <a:extLst>
            <a:ext uri="{FF2B5EF4-FFF2-40B4-BE49-F238E27FC236}">
              <a16:creationId xmlns:a16="http://schemas.microsoft.com/office/drawing/2014/main" id="{00000000-0008-0000-1500-000062000000}"/>
            </a:ext>
          </a:extLst>
        </xdr:cNvPr>
        <xdr:cNvSpPr/>
      </xdr:nvSpPr>
      <xdr:spPr>
        <a:xfrm>
          <a:off x="9667826"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7</xdr:col>
      <xdr:colOff>2042711</xdr:colOff>
      <xdr:row>76</xdr:row>
      <xdr:rowOff>0</xdr:rowOff>
    </xdr:from>
    <xdr:to>
      <xdr:col>8</xdr:col>
      <xdr:colOff>114633</xdr:colOff>
      <xdr:row>76</xdr:row>
      <xdr:rowOff>292608</xdr:rowOff>
    </xdr:to>
    <xdr:sp macro="[0]!btnLevel.btnLevel" textlink="">
      <xdr:nvSpPr>
        <xdr:cNvPr id="99" name="btnLevelS27B5">
          <a:extLst>
            <a:ext uri="{FF2B5EF4-FFF2-40B4-BE49-F238E27FC236}">
              <a16:creationId xmlns:a16="http://schemas.microsoft.com/office/drawing/2014/main" id="{00000000-0008-0000-1500-000063000000}"/>
            </a:ext>
          </a:extLst>
        </xdr:cNvPr>
        <xdr:cNvSpPr/>
      </xdr:nvSpPr>
      <xdr:spPr>
        <a:xfrm>
          <a:off x="10135151" y="21442680"/>
          <a:ext cx="28934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10</xdr:col>
      <xdr:colOff>0</xdr:colOff>
      <xdr:row>76</xdr:row>
      <xdr:rowOff>0</xdr:rowOff>
    </xdr:from>
    <xdr:to>
      <xdr:col>10</xdr:col>
      <xdr:colOff>292608</xdr:colOff>
      <xdr:row>76</xdr:row>
      <xdr:rowOff>292608</xdr:rowOff>
    </xdr:to>
    <xdr:sp macro="[0]!btnLevel.btnLevel" textlink="">
      <xdr:nvSpPr>
        <xdr:cNvPr id="100" name="btnLevelS28B0">
          <a:extLst>
            <a:ext uri="{FF2B5EF4-FFF2-40B4-BE49-F238E27FC236}">
              <a16:creationId xmlns:a16="http://schemas.microsoft.com/office/drawing/2014/main" id="{00000000-0008-0000-1500-000064000000}"/>
            </a:ext>
          </a:extLst>
        </xdr:cNvPr>
        <xdr:cNvSpPr/>
      </xdr:nvSpPr>
      <xdr:spPr>
        <a:xfrm>
          <a:off x="12816840" y="2144268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11</xdr:col>
      <xdr:colOff>173411</xdr:colOff>
      <xdr:row>76</xdr:row>
      <xdr:rowOff>0</xdr:rowOff>
    </xdr:from>
    <xdr:to>
      <xdr:col>11</xdr:col>
      <xdr:colOff>466019</xdr:colOff>
      <xdr:row>76</xdr:row>
      <xdr:rowOff>292608</xdr:rowOff>
    </xdr:to>
    <xdr:sp macro="[0]!btnLevel.btnLevel" textlink="">
      <xdr:nvSpPr>
        <xdr:cNvPr id="101" name="btnLevelS28B1">
          <a:extLst>
            <a:ext uri="{FF2B5EF4-FFF2-40B4-BE49-F238E27FC236}">
              <a16:creationId xmlns:a16="http://schemas.microsoft.com/office/drawing/2014/main" id="{00000000-0008-0000-1500-000065000000}"/>
            </a:ext>
          </a:extLst>
        </xdr:cNvPr>
        <xdr:cNvSpPr/>
      </xdr:nvSpPr>
      <xdr:spPr>
        <a:xfrm>
          <a:off x="13279811"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11</xdr:col>
      <xdr:colOff>640736</xdr:colOff>
      <xdr:row>76</xdr:row>
      <xdr:rowOff>0</xdr:rowOff>
    </xdr:from>
    <xdr:to>
      <xdr:col>11</xdr:col>
      <xdr:colOff>933344</xdr:colOff>
      <xdr:row>76</xdr:row>
      <xdr:rowOff>292608</xdr:rowOff>
    </xdr:to>
    <xdr:sp macro="[0]!btnLevel.btnLevel" textlink="">
      <xdr:nvSpPr>
        <xdr:cNvPr id="102" name="btnLevelS28B2">
          <a:extLst>
            <a:ext uri="{FF2B5EF4-FFF2-40B4-BE49-F238E27FC236}">
              <a16:creationId xmlns:a16="http://schemas.microsoft.com/office/drawing/2014/main" id="{00000000-0008-0000-1500-000066000000}"/>
            </a:ext>
          </a:extLst>
        </xdr:cNvPr>
        <xdr:cNvSpPr/>
      </xdr:nvSpPr>
      <xdr:spPr>
        <a:xfrm>
          <a:off x="13747136"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11</xdr:col>
      <xdr:colOff>1108061</xdr:colOff>
      <xdr:row>76</xdr:row>
      <xdr:rowOff>0</xdr:rowOff>
    </xdr:from>
    <xdr:to>
      <xdr:col>11</xdr:col>
      <xdr:colOff>1400669</xdr:colOff>
      <xdr:row>76</xdr:row>
      <xdr:rowOff>292608</xdr:rowOff>
    </xdr:to>
    <xdr:sp macro="[0]!btnLevel.btnLevel" textlink="">
      <xdr:nvSpPr>
        <xdr:cNvPr id="103" name="btnLevelS28B3">
          <a:extLst>
            <a:ext uri="{FF2B5EF4-FFF2-40B4-BE49-F238E27FC236}">
              <a16:creationId xmlns:a16="http://schemas.microsoft.com/office/drawing/2014/main" id="{00000000-0008-0000-1500-000067000000}"/>
            </a:ext>
          </a:extLst>
        </xdr:cNvPr>
        <xdr:cNvSpPr/>
      </xdr:nvSpPr>
      <xdr:spPr>
        <a:xfrm>
          <a:off x="14214461"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11</xdr:col>
      <xdr:colOff>1575386</xdr:colOff>
      <xdr:row>76</xdr:row>
      <xdr:rowOff>0</xdr:rowOff>
    </xdr:from>
    <xdr:to>
      <xdr:col>11</xdr:col>
      <xdr:colOff>1867994</xdr:colOff>
      <xdr:row>76</xdr:row>
      <xdr:rowOff>292608</xdr:rowOff>
    </xdr:to>
    <xdr:sp macro="[0]!btnLevel.btnLevel" textlink="">
      <xdr:nvSpPr>
        <xdr:cNvPr id="104" name="btnLevelS28B4">
          <a:extLst>
            <a:ext uri="{FF2B5EF4-FFF2-40B4-BE49-F238E27FC236}">
              <a16:creationId xmlns:a16="http://schemas.microsoft.com/office/drawing/2014/main" id="{00000000-0008-0000-1500-000068000000}"/>
            </a:ext>
          </a:extLst>
        </xdr:cNvPr>
        <xdr:cNvSpPr/>
      </xdr:nvSpPr>
      <xdr:spPr>
        <a:xfrm>
          <a:off x="14681786" y="2144268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11</xdr:col>
      <xdr:colOff>2042711</xdr:colOff>
      <xdr:row>76</xdr:row>
      <xdr:rowOff>0</xdr:rowOff>
    </xdr:from>
    <xdr:to>
      <xdr:col>12</xdr:col>
      <xdr:colOff>114633</xdr:colOff>
      <xdr:row>76</xdr:row>
      <xdr:rowOff>292608</xdr:rowOff>
    </xdr:to>
    <xdr:sp macro="[0]!btnLevel.btnLevel" textlink="">
      <xdr:nvSpPr>
        <xdr:cNvPr id="105" name="btnLevelS28B5">
          <a:extLst>
            <a:ext uri="{FF2B5EF4-FFF2-40B4-BE49-F238E27FC236}">
              <a16:creationId xmlns:a16="http://schemas.microsoft.com/office/drawing/2014/main" id="{00000000-0008-0000-1500-000069000000}"/>
            </a:ext>
          </a:extLst>
        </xdr:cNvPr>
        <xdr:cNvSpPr/>
      </xdr:nvSpPr>
      <xdr:spPr>
        <a:xfrm>
          <a:off x="15149111" y="21442680"/>
          <a:ext cx="289342"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4</xdr:col>
      <xdr:colOff>36739</xdr:colOff>
      <xdr:row>24</xdr:row>
      <xdr:rowOff>312272</xdr:rowOff>
    </xdr:from>
    <xdr:to>
      <xdr:col>5</xdr:col>
      <xdr:colOff>39787</xdr:colOff>
      <xdr:row>25</xdr:row>
      <xdr:rowOff>292460</xdr:rowOff>
    </xdr:to>
    <xdr:sp macro="[0]!btnPlus" textlink="">
      <xdr:nvSpPr>
        <xdr:cNvPr id="75" name="btnPlus_Dec106">
          <a:extLst>
            <a:ext uri="{FF2B5EF4-FFF2-40B4-BE49-F238E27FC236}">
              <a16:creationId xmlns:a16="http://schemas.microsoft.com/office/drawing/2014/main" id="{00000000-0008-0000-1500-00004B000000}"/>
            </a:ext>
          </a:extLst>
        </xdr:cNvPr>
        <xdr:cNvSpPr/>
      </xdr:nvSpPr>
      <xdr:spPr bwMode="auto">
        <a:xfrm>
          <a:off x="5332639" y="8282792"/>
          <a:ext cx="292608"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2602624</xdr:colOff>
      <xdr:row>25</xdr:row>
      <xdr:rowOff>9524</xdr:rowOff>
    </xdr:from>
    <xdr:to>
      <xdr:col>2</xdr:col>
      <xdr:colOff>251092</xdr:colOff>
      <xdr:row>25</xdr:row>
      <xdr:rowOff>302132</xdr:rowOff>
    </xdr:to>
    <xdr:sp macro="[0]!btnMinus" textlink="">
      <xdr:nvSpPr>
        <xdr:cNvPr id="77" name="btnMinus_Dec106">
          <a:extLst>
            <a:ext uri="{FF2B5EF4-FFF2-40B4-BE49-F238E27FC236}">
              <a16:creationId xmlns:a16="http://schemas.microsoft.com/office/drawing/2014/main" id="{00000000-0008-0000-1500-00004D000000}"/>
            </a:ext>
          </a:extLst>
        </xdr:cNvPr>
        <xdr:cNvSpPr/>
      </xdr:nvSpPr>
      <xdr:spPr bwMode="auto">
        <a:xfrm>
          <a:off x="2892184" y="829246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36739</xdr:colOff>
      <xdr:row>30</xdr:row>
      <xdr:rowOff>312272</xdr:rowOff>
    </xdr:from>
    <xdr:to>
      <xdr:col>5</xdr:col>
      <xdr:colOff>39787</xdr:colOff>
      <xdr:row>31</xdr:row>
      <xdr:rowOff>292460</xdr:rowOff>
    </xdr:to>
    <xdr:sp macro="[0]!btnPlus" textlink="">
      <xdr:nvSpPr>
        <xdr:cNvPr id="79" name="btnPlus_Dec111">
          <a:extLst>
            <a:ext uri="{FF2B5EF4-FFF2-40B4-BE49-F238E27FC236}">
              <a16:creationId xmlns:a16="http://schemas.microsoft.com/office/drawing/2014/main" id="{00000000-0008-0000-1500-00004F000000}"/>
            </a:ext>
          </a:extLst>
        </xdr:cNvPr>
        <xdr:cNvSpPr/>
      </xdr:nvSpPr>
      <xdr:spPr bwMode="auto">
        <a:xfrm>
          <a:off x="5332639" y="10157312"/>
          <a:ext cx="292608" cy="292608"/>
        </a:xfrm>
        <a:prstGeom prst="mathPl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2602624</xdr:colOff>
      <xdr:row>31</xdr:row>
      <xdr:rowOff>9524</xdr:rowOff>
    </xdr:from>
    <xdr:to>
      <xdr:col>2</xdr:col>
      <xdr:colOff>251092</xdr:colOff>
      <xdr:row>31</xdr:row>
      <xdr:rowOff>302132</xdr:rowOff>
    </xdr:to>
    <xdr:sp macro="[0]!btnMinus" textlink="">
      <xdr:nvSpPr>
        <xdr:cNvPr id="83" name="btnMinus_Dec111">
          <a:extLst>
            <a:ext uri="{FF2B5EF4-FFF2-40B4-BE49-F238E27FC236}">
              <a16:creationId xmlns:a16="http://schemas.microsoft.com/office/drawing/2014/main" id="{00000000-0008-0000-1500-000053000000}"/>
            </a:ext>
          </a:extLst>
        </xdr:cNvPr>
        <xdr:cNvSpPr/>
      </xdr:nvSpPr>
      <xdr:spPr bwMode="auto">
        <a:xfrm>
          <a:off x="2892184" y="8292464"/>
          <a:ext cx="292608" cy="292608"/>
        </a:xfrm>
        <a:prstGeom prst="mathMinus">
          <a:avLst/>
        </a:prstGeom>
        <a:solidFill>
          <a:schemeClr val="accent2"/>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321733</xdr:colOff>
      <xdr:row>39</xdr:row>
      <xdr:rowOff>0</xdr:rowOff>
    </xdr:from>
    <xdr:to>
      <xdr:col>3</xdr:col>
      <xdr:colOff>614341</xdr:colOff>
      <xdr:row>39</xdr:row>
      <xdr:rowOff>292608</xdr:rowOff>
    </xdr:to>
    <xdr:sp macro="[0]!btnLevel.btnLevel" textlink="">
      <xdr:nvSpPr>
        <xdr:cNvPr id="112" name="btnLevelS29B0">
          <a:extLst>
            <a:ext uri="{FF2B5EF4-FFF2-40B4-BE49-F238E27FC236}">
              <a16:creationId xmlns:a16="http://schemas.microsoft.com/office/drawing/2014/main" id="{00000000-0008-0000-1500-000070000000}"/>
            </a:ext>
          </a:extLst>
        </xdr:cNvPr>
        <xdr:cNvSpPr/>
      </xdr:nvSpPr>
      <xdr:spPr>
        <a:xfrm>
          <a:off x="3544993" y="1780032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1018251</xdr:colOff>
      <xdr:row>39</xdr:row>
      <xdr:rowOff>0</xdr:rowOff>
    </xdr:from>
    <xdr:to>
      <xdr:col>3</xdr:col>
      <xdr:colOff>1310859</xdr:colOff>
      <xdr:row>39</xdr:row>
      <xdr:rowOff>292608</xdr:rowOff>
    </xdr:to>
    <xdr:sp macro="[0]!btnLevel.btnLevel" textlink="">
      <xdr:nvSpPr>
        <xdr:cNvPr id="113" name="btnLevelS29B1">
          <a:extLst>
            <a:ext uri="{FF2B5EF4-FFF2-40B4-BE49-F238E27FC236}">
              <a16:creationId xmlns:a16="http://schemas.microsoft.com/office/drawing/2014/main" id="{00000000-0008-0000-1500-000071000000}"/>
            </a:ext>
          </a:extLst>
        </xdr:cNvPr>
        <xdr:cNvSpPr/>
      </xdr:nvSpPr>
      <xdr:spPr>
        <a:xfrm>
          <a:off x="4241511" y="178003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1714769</xdr:colOff>
      <xdr:row>39</xdr:row>
      <xdr:rowOff>0</xdr:rowOff>
    </xdr:from>
    <xdr:to>
      <xdr:col>3</xdr:col>
      <xdr:colOff>2007377</xdr:colOff>
      <xdr:row>39</xdr:row>
      <xdr:rowOff>292608</xdr:rowOff>
    </xdr:to>
    <xdr:sp macro="[0]!btnLevel.btnLevel" textlink="">
      <xdr:nvSpPr>
        <xdr:cNvPr id="114" name="btnLevelS29B2">
          <a:extLst>
            <a:ext uri="{FF2B5EF4-FFF2-40B4-BE49-F238E27FC236}">
              <a16:creationId xmlns:a16="http://schemas.microsoft.com/office/drawing/2014/main" id="{00000000-0008-0000-1500-000072000000}"/>
            </a:ext>
          </a:extLst>
        </xdr:cNvPr>
        <xdr:cNvSpPr/>
      </xdr:nvSpPr>
      <xdr:spPr>
        <a:xfrm>
          <a:off x="4938029" y="178003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49087</xdr:colOff>
      <xdr:row>39</xdr:row>
      <xdr:rowOff>0</xdr:rowOff>
    </xdr:from>
    <xdr:to>
      <xdr:col>5</xdr:col>
      <xdr:colOff>341695</xdr:colOff>
      <xdr:row>39</xdr:row>
      <xdr:rowOff>292608</xdr:rowOff>
    </xdr:to>
    <xdr:sp macro="[0]!btnLevel.btnLevel" textlink="">
      <xdr:nvSpPr>
        <xdr:cNvPr id="115" name="btnLevelS29B3">
          <a:extLst>
            <a:ext uri="{FF2B5EF4-FFF2-40B4-BE49-F238E27FC236}">
              <a16:creationId xmlns:a16="http://schemas.microsoft.com/office/drawing/2014/main" id="{00000000-0008-0000-1500-000073000000}"/>
            </a:ext>
          </a:extLst>
        </xdr:cNvPr>
        <xdr:cNvSpPr/>
      </xdr:nvSpPr>
      <xdr:spPr>
        <a:xfrm>
          <a:off x="5634547" y="178003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745605</xdr:colOff>
      <xdr:row>39</xdr:row>
      <xdr:rowOff>0</xdr:rowOff>
    </xdr:from>
    <xdr:to>
      <xdr:col>5</xdr:col>
      <xdr:colOff>1038213</xdr:colOff>
      <xdr:row>39</xdr:row>
      <xdr:rowOff>292608</xdr:rowOff>
    </xdr:to>
    <xdr:sp macro="[0]!btnLevel.btnLevel" textlink="">
      <xdr:nvSpPr>
        <xdr:cNvPr id="116" name="btnLevelS29B4">
          <a:extLst>
            <a:ext uri="{FF2B5EF4-FFF2-40B4-BE49-F238E27FC236}">
              <a16:creationId xmlns:a16="http://schemas.microsoft.com/office/drawing/2014/main" id="{00000000-0008-0000-1500-000074000000}"/>
            </a:ext>
          </a:extLst>
        </xdr:cNvPr>
        <xdr:cNvSpPr/>
      </xdr:nvSpPr>
      <xdr:spPr>
        <a:xfrm>
          <a:off x="6331065" y="178003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1442121</xdr:colOff>
      <xdr:row>39</xdr:row>
      <xdr:rowOff>0</xdr:rowOff>
    </xdr:from>
    <xdr:to>
      <xdr:col>5</xdr:col>
      <xdr:colOff>1734729</xdr:colOff>
      <xdr:row>39</xdr:row>
      <xdr:rowOff>292608</xdr:rowOff>
    </xdr:to>
    <xdr:sp macro="[0]!btnLevel.btnLevel" textlink="">
      <xdr:nvSpPr>
        <xdr:cNvPr id="117" name="btnLevelS29B5">
          <a:extLst>
            <a:ext uri="{FF2B5EF4-FFF2-40B4-BE49-F238E27FC236}">
              <a16:creationId xmlns:a16="http://schemas.microsoft.com/office/drawing/2014/main" id="{00000000-0008-0000-1500-000075000000}"/>
            </a:ext>
          </a:extLst>
        </xdr:cNvPr>
        <xdr:cNvSpPr/>
      </xdr:nvSpPr>
      <xdr:spPr>
        <a:xfrm>
          <a:off x="7027581" y="1780032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3</xdr:col>
      <xdr:colOff>321733</xdr:colOff>
      <xdr:row>46</xdr:row>
      <xdr:rowOff>0</xdr:rowOff>
    </xdr:from>
    <xdr:to>
      <xdr:col>3</xdr:col>
      <xdr:colOff>614341</xdr:colOff>
      <xdr:row>46</xdr:row>
      <xdr:rowOff>292608</xdr:rowOff>
    </xdr:to>
    <xdr:sp macro="[0]!btnLevel.btnLevel" textlink="">
      <xdr:nvSpPr>
        <xdr:cNvPr id="118" name="btnLevelS30B0">
          <a:extLst>
            <a:ext uri="{FF2B5EF4-FFF2-40B4-BE49-F238E27FC236}">
              <a16:creationId xmlns:a16="http://schemas.microsoft.com/office/drawing/2014/main" id="{00000000-0008-0000-1500-000076000000}"/>
            </a:ext>
          </a:extLst>
        </xdr:cNvPr>
        <xdr:cNvSpPr/>
      </xdr:nvSpPr>
      <xdr:spPr>
        <a:xfrm>
          <a:off x="3544993" y="19987260"/>
          <a:ext cx="292608" cy="292608"/>
        </a:xfrm>
        <a:prstGeom prst="ellipse">
          <a:avLst/>
        </a:prstGeom>
        <a:solidFill>
          <a:srgbClr val="5C2D91"/>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1018251</xdr:colOff>
      <xdr:row>46</xdr:row>
      <xdr:rowOff>0</xdr:rowOff>
    </xdr:from>
    <xdr:to>
      <xdr:col>3</xdr:col>
      <xdr:colOff>1310859</xdr:colOff>
      <xdr:row>46</xdr:row>
      <xdr:rowOff>292608</xdr:rowOff>
    </xdr:to>
    <xdr:sp macro="[0]!btnLevel.btnLevel" textlink="">
      <xdr:nvSpPr>
        <xdr:cNvPr id="119" name="btnLevelS30B1">
          <a:extLst>
            <a:ext uri="{FF2B5EF4-FFF2-40B4-BE49-F238E27FC236}">
              <a16:creationId xmlns:a16="http://schemas.microsoft.com/office/drawing/2014/main" id="{00000000-0008-0000-1500-000077000000}"/>
            </a:ext>
          </a:extLst>
        </xdr:cNvPr>
        <xdr:cNvSpPr/>
      </xdr:nvSpPr>
      <xdr:spPr>
        <a:xfrm>
          <a:off x="4241511" y="199872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1</a:t>
          </a:r>
        </a:p>
      </xdr:txBody>
    </xdr:sp>
    <xdr:clientData/>
  </xdr:twoCellAnchor>
  <xdr:twoCellAnchor>
    <xdr:from>
      <xdr:col>3</xdr:col>
      <xdr:colOff>1714769</xdr:colOff>
      <xdr:row>46</xdr:row>
      <xdr:rowOff>0</xdr:rowOff>
    </xdr:from>
    <xdr:to>
      <xdr:col>3</xdr:col>
      <xdr:colOff>2007377</xdr:colOff>
      <xdr:row>46</xdr:row>
      <xdr:rowOff>292608</xdr:rowOff>
    </xdr:to>
    <xdr:sp macro="[0]!btnLevel.btnLevel" textlink="">
      <xdr:nvSpPr>
        <xdr:cNvPr id="120" name="btnLevelS30B2">
          <a:extLst>
            <a:ext uri="{FF2B5EF4-FFF2-40B4-BE49-F238E27FC236}">
              <a16:creationId xmlns:a16="http://schemas.microsoft.com/office/drawing/2014/main" id="{00000000-0008-0000-1500-000078000000}"/>
            </a:ext>
          </a:extLst>
        </xdr:cNvPr>
        <xdr:cNvSpPr/>
      </xdr:nvSpPr>
      <xdr:spPr>
        <a:xfrm>
          <a:off x="4938029" y="199872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2</a:t>
          </a:r>
        </a:p>
      </xdr:txBody>
    </xdr:sp>
    <xdr:clientData/>
  </xdr:twoCellAnchor>
  <xdr:twoCellAnchor>
    <xdr:from>
      <xdr:col>5</xdr:col>
      <xdr:colOff>49087</xdr:colOff>
      <xdr:row>46</xdr:row>
      <xdr:rowOff>0</xdr:rowOff>
    </xdr:from>
    <xdr:to>
      <xdr:col>5</xdr:col>
      <xdr:colOff>341695</xdr:colOff>
      <xdr:row>46</xdr:row>
      <xdr:rowOff>292608</xdr:rowOff>
    </xdr:to>
    <xdr:sp macro="[0]!btnLevel.btnLevel" textlink="">
      <xdr:nvSpPr>
        <xdr:cNvPr id="121" name="btnLevelS30B3">
          <a:extLst>
            <a:ext uri="{FF2B5EF4-FFF2-40B4-BE49-F238E27FC236}">
              <a16:creationId xmlns:a16="http://schemas.microsoft.com/office/drawing/2014/main" id="{00000000-0008-0000-1500-000079000000}"/>
            </a:ext>
          </a:extLst>
        </xdr:cNvPr>
        <xdr:cNvSpPr/>
      </xdr:nvSpPr>
      <xdr:spPr>
        <a:xfrm>
          <a:off x="5634547" y="199872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3</a:t>
          </a:r>
        </a:p>
      </xdr:txBody>
    </xdr:sp>
    <xdr:clientData/>
  </xdr:twoCellAnchor>
  <xdr:twoCellAnchor>
    <xdr:from>
      <xdr:col>5</xdr:col>
      <xdr:colOff>745605</xdr:colOff>
      <xdr:row>46</xdr:row>
      <xdr:rowOff>0</xdr:rowOff>
    </xdr:from>
    <xdr:to>
      <xdr:col>5</xdr:col>
      <xdr:colOff>1038213</xdr:colOff>
      <xdr:row>46</xdr:row>
      <xdr:rowOff>292608</xdr:rowOff>
    </xdr:to>
    <xdr:sp macro="[0]!btnLevel.btnLevel" textlink="">
      <xdr:nvSpPr>
        <xdr:cNvPr id="122" name="btnLevelS30B4">
          <a:extLst>
            <a:ext uri="{FF2B5EF4-FFF2-40B4-BE49-F238E27FC236}">
              <a16:creationId xmlns:a16="http://schemas.microsoft.com/office/drawing/2014/main" id="{00000000-0008-0000-1500-00007A000000}"/>
            </a:ext>
          </a:extLst>
        </xdr:cNvPr>
        <xdr:cNvSpPr/>
      </xdr:nvSpPr>
      <xdr:spPr>
        <a:xfrm>
          <a:off x="6331065" y="199872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4</a:t>
          </a:r>
        </a:p>
      </xdr:txBody>
    </xdr:sp>
    <xdr:clientData/>
  </xdr:twoCellAnchor>
  <xdr:twoCellAnchor>
    <xdr:from>
      <xdr:col>5</xdr:col>
      <xdr:colOff>1442121</xdr:colOff>
      <xdr:row>46</xdr:row>
      <xdr:rowOff>0</xdr:rowOff>
    </xdr:from>
    <xdr:to>
      <xdr:col>5</xdr:col>
      <xdr:colOff>1734729</xdr:colOff>
      <xdr:row>46</xdr:row>
      <xdr:rowOff>292608</xdr:rowOff>
    </xdr:to>
    <xdr:sp macro="[0]!btnLevel.btnLevel" textlink="">
      <xdr:nvSpPr>
        <xdr:cNvPr id="123" name="btnLevelS30B5">
          <a:extLst>
            <a:ext uri="{FF2B5EF4-FFF2-40B4-BE49-F238E27FC236}">
              <a16:creationId xmlns:a16="http://schemas.microsoft.com/office/drawing/2014/main" id="{00000000-0008-0000-1500-00007B000000}"/>
            </a:ext>
          </a:extLst>
        </xdr:cNvPr>
        <xdr:cNvSpPr/>
      </xdr:nvSpPr>
      <xdr:spPr>
        <a:xfrm>
          <a:off x="7027581" y="19987260"/>
          <a:ext cx="292608" cy="292608"/>
        </a:xfrm>
        <a:prstGeom prst="ellipse">
          <a:avLst/>
        </a:prstGeom>
        <a:solidFill>
          <a:srgbClr val="FFE697"/>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xmlns:mc="http://schemas.openxmlformats.org/markup-compatibility/2006" xmlns:a14="http://schemas.microsoft.com/office/drawing/2010/main" val="000000" mc:Ignorable="a14" a14:legacySpreadsheetColorIndex="8"/>
              </a:solidFill>
            </a:rPr>
            <a:t>5</a:t>
          </a:r>
        </a:p>
      </xdr:txBody>
    </xdr:sp>
    <xdr:clientData/>
  </xdr:twoCellAnchor>
  <xdr:twoCellAnchor>
    <xdr:from>
      <xdr:col>11</xdr:col>
      <xdr:colOff>243840</xdr:colOff>
      <xdr:row>11</xdr:row>
      <xdr:rowOff>106680</xdr:rowOff>
    </xdr:from>
    <xdr:to>
      <xdr:col>12</xdr:col>
      <xdr:colOff>124432</xdr:colOff>
      <xdr:row>11</xdr:row>
      <xdr:rowOff>665879</xdr:rowOff>
    </xdr:to>
    <xdr:sp macro="[0]!NavButtons" textlink="">
      <xdr:nvSpPr>
        <xdr:cNvPr id="124" name="NavConsumer4">
          <a:extLst>
            <a:ext uri="{FF2B5EF4-FFF2-40B4-BE49-F238E27FC236}">
              <a16:creationId xmlns:a16="http://schemas.microsoft.com/office/drawing/2014/main" id="{00000000-0008-0000-1500-00007C000000}"/>
            </a:ext>
          </a:extLst>
        </xdr:cNvPr>
        <xdr:cNvSpPr/>
      </xdr:nvSpPr>
      <xdr:spPr bwMode="auto">
        <a:xfrm>
          <a:off x="13380720" y="2971800"/>
          <a:ext cx="2105632" cy="559199"/>
        </a:xfrm>
        <a:prstGeom prst="rect">
          <a:avLst/>
        </a:prstGeom>
        <a:solidFill>
          <a:srgbClr val="5C2D91"/>
        </a:solidFill>
        <a:ln>
          <a:solidFill>
            <a:srgbClr val="5C2D91"/>
          </a:solidFill>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91440" rIns="91440" bIns="91440"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b="0" dirty="0" err="1">
              <a:solidFill>
                <a:srgbClr xmlns:mc="http://schemas.openxmlformats.org/markup-compatibility/2006" xmlns:a14="http://schemas.microsoft.com/office/drawing/2010/main" val="FFFFFF" mc:Ignorable="a14" a14:legacySpreadsheetColorIndex="9"/>
              </a:solidFill>
              <a:latin typeface="+mj-lt"/>
              <a:ea typeface="Segoe UI" pitchFamily="34" charset="0"/>
              <a:cs typeface="Segoe UI" pitchFamily="34" charset="0"/>
            </a:rPr>
            <a:t>Partner</a:t>
          </a:r>
        </a:p>
      </xdr:txBody>
    </xdr:sp>
    <xdr:clientData/>
  </xdr:twoCellAnchor>
  <xdr:twoCellAnchor>
    <xdr:from>
      <xdr:col>7</xdr:col>
      <xdr:colOff>1238250</xdr:colOff>
      <xdr:row>23</xdr:row>
      <xdr:rowOff>38100</xdr:rowOff>
    </xdr:from>
    <xdr:to>
      <xdr:col>13</xdr:col>
      <xdr:colOff>1186180</xdr:colOff>
      <xdr:row>35</xdr:row>
      <xdr:rowOff>0</xdr:rowOff>
    </xdr:to>
    <xdr:graphicFrame macro="">
      <xdr:nvGraphicFramePr>
        <xdr:cNvPr id="126" name="Chart 125">
          <a:extLst>
            <a:ext uri="{FF2B5EF4-FFF2-40B4-BE49-F238E27FC236}">
              <a16:creationId xmlns:a16="http://schemas.microsoft.com/office/drawing/2014/main" id="{00000000-0008-0000-15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1409700</xdr:colOff>
      <xdr:row>56</xdr:row>
      <xdr:rowOff>95250</xdr:rowOff>
    </xdr:from>
    <xdr:to>
      <xdr:col>13</xdr:col>
      <xdr:colOff>1531620</xdr:colOff>
      <xdr:row>67</xdr:row>
      <xdr:rowOff>59690</xdr:rowOff>
    </xdr:to>
    <xdr:graphicFrame macro="">
      <xdr:nvGraphicFramePr>
        <xdr:cNvPr id="127" name="Chart 126">
          <a:extLst>
            <a:ext uri="{FF2B5EF4-FFF2-40B4-BE49-F238E27FC236}">
              <a16:creationId xmlns:a16="http://schemas.microsoft.com/office/drawing/2014/main" id="{00000000-0008-0000-1500-00007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323850</xdr:colOff>
      <xdr:row>37</xdr:row>
      <xdr:rowOff>57150</xdr:rowOff>
    </xdr:from>
    <xdr:to>
      <xdr:col>14</xdr:col>
      <xdr:colOff>266700</xdr:colOff>
      <xdr:row>51</xdr:row>
      <xdr:rowOff>95250</xdr:rowOff>
    </xdr:to>
    <xdr:graphicFrame macro="">
      <xdr:nvGraphicFramePr>
        <xdr:cNvPr id="128" name="Chart 127">
          <a:extLst>
            <a:ext uri="{FF2B5EF4-FFF2-40B4-BE49-F238E27FC236}">
              <a16:creationId xmlns:a16="http://schemas.microsoft.com/office/drawing/2014/main" id="{00000000-0008-0000-1500-00008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1302040</xdr:colOff>
      <xdr:row>14</xdr:row>
      <xdr:rowOff>257993</xdr:rowOff>
    </xdr:from>
    <xdr:to>
      <xdr:col>11</xdr:col>
      <xdr:colOff>1081060</xdr:colOff>
      <xdr:row>15</xdr:row>
      <xdr:rowOff>309301</xdr:rowOff>
    </xdr:to>
    <xdr:sp macro="[0]!btnLevel.btnLevel" textlink="">
      <xdr:nvSpPr>
        <xdr:cNvPr id="129" name="btnLevelS24B3">
          <a:extLst>
            <a:ext uri="{FF2B5EF4-FFF2-40B4-BE49-F238E27FC236}">
              <a16:creationId xmlns:a16="http://schemas.microsoft.com/office/drawing/2014/main" id="{00000000-0008-0000-1500-000081000000}"/>
            </a:ext>
          </a:extLst>
        </xdr:cNvPr>
        <xdr:cNvSpPr/>
      </xdr:nvSpPr>
      <xdr:spPr bwMode="auto">
        <a:xfrm>
          <a:off x="11919240" y="4347393"/>
          <a:ext cx="2293620" cy="36880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Increase</a:t>
          </a:r>
        </a:p>
      </xdr:txBody>
    </xdr:sp>
    <xdr:clientData/>
  </xdr:twoCellAnchor>
  <xdr:twoCellAnchor>
    <xdr:from>
      <xdr:col>9</xdr:col>
      <xdr:colOff>1302040</xdr:colOff>
      <xdr:row>17</xdr:row>
      <xdr:rowOff>295728</xdr:rowOff>
    </xdr:from>
    <xdr:to>
      <xdr:col>11</xdr:col>
      <xdr:colOff>1081060</xdr:colOff>
      <xdr:row>19</xdr:row>
      <xdr:rowOff>44776</xdr:rowOff>
    </xdr:to>
    <xdr:sp macro="[0]!btnLevel.btnLevel" textlink="">
      <xdr:nvSpPr>
        <xdr:cNvPr id="130" name="btnLevelS25B3">
          <a:extLst>
            <a:ext uri="{FF2B5EF4-FFF2-40B4-BE49-F238E27FC236}">
              <a16:creationId xmlns:a16="http://schemas.microsoft.com/office/drawing/2014/main" id="{00000000-0008-0000-1500-000082000000}"/>
            </a:ext>
          </a:extLst>
        </xdr:cNvPr>
        <xdr:cNvSpPr/>
      </xdr:nvSpPr>
      <xdr:spPr bwMode="auto">
        <a:xfrm>
          <a:off x="11919240" y="5337628"/>
          <a:ext cx="2293620" cy="3840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Increase</a:t>
          </a:r>
        </a:p>
      </xdr:txBody>
    </xdr:sp>
    <xdr:clientData/>
  </xdr:twoCellAnchor>
  <xdr:twoCellAnchor>
    <xdr:from>
      <xdr:col>11</xdr:col>
      <xdr:colOff>1372108</xdr:colOff>
      <xdr:row>14</xdr:row>
      <xdr:rowOff>257993</xdr:rowOff>
    </xdr:from>
    <xdr:to>
      <xdr:col>13</xdr:col>
      <xdr:colOff>1151128</xdr:colOff>
      <xdr:row>15</xdr:row>
      <xdr:rowOff>311841</xdr:rowOff>
    </xdr:to>
    <xdr:sp macro="[0]!btnLevel.btnLevel" textlink="">
      <xdr:nvSpPr>
        <xdr:cNvPr id="131" name="btnLevelS24B4">
          <a:extLst>
            <a:ext uri="{FF2B5EF4-FFF2-40B4-BE49-F238E27FC236}">
              <a16:creationId xmlns:a16="http://schemas.microsoft.com/office/drawing/2014/main" id="{00000000-0008-0000-1500-000083000000}"/>
            </a:ext>
          </a:extLst>
        </xdr:cNvPr>
        <xdr:cNvSpPr/>
      </xdr:nvSpPr>
      <xdr:spPr bwMode="auto">
        <a:xfrm>
          <a:off x="14503908" y="4347393"/>
          <a:ext cx="2293620" cy="37134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 Increase</a:t>
          </a:r>
        </a:p>
      </xdr:txBody>
    </xdr:sp>
    <xdr:clientData/>
  </xdr:twoCellAnchor>
  <xdr:twoCellAnchor>
    <xdr:from>
      <xdr:col>11</xdr:col>
      <xdr:colOff>1372108</xdr:colOff>
      <xdr:row>17</xdr:row>
      <xdr:rowOff>295728</xdr:rowOff>
    </xdr:from>
    <xdr:to>
      <xdr:col>13</xdr:col>
      <xdr:colOff>1151128</xdr:colOff>
      <xdr:row>19</xdr:row>
      <xdr:rowOff>39696</xdr:rowOff>
    </xdr:to>
    <xdr:sp macro="[0]!btnLevel.btnLevel" textlink="">
      <xdr:nvSpPr>
        <xdr:cNvPr id="132" name="btnLevelS25B4">
          <a:extLst>
            <a:ext uri="{FF2B5EF4-FFF2-40B4-BE49-F238E27FC236}">
              <a16:creationId xmlns:a16="http://schemas.microsoft.com/office/drawing/2014/main" id="{00000000-0008-0000-1500-000084000000}"/>
            </a:ext>
          </a:extLst>
        </xdr:cNvPr>
        <xdr:cNvSpPr/>
      </xdr:nvSpPr>
      <xdr:spPr bwMode="auto">
        <a:xfrm>
          <a:off x="14503908" y="5337628"/>
          <a:ext cx="2293620" cy="378968"/>
        </a:xfrm>
        <a:prstGeom prst="rect">
          <a:avLst/>
        </a:prstGeom>
        <a:solidFill>
          <a:srgbClr val="FFE697"/>
        </a:solidFill>
        <a:ln>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ctr" defTabSz="932472" fontAlgn="base">
            <a:lnSpc>
              <a:spcPct val="90000"/>
            </a:lnSpc>
            <a:spcBef>
              <a:spcPct val="0"/>
            </a:spcBef>
            <a:spcAft>
              <a:spcPct val="0"/>
            </a:spcAft>
          </a:pP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Significant</a:t>
          </a:r>
          <a:r>
            <a:rPr lang="en-US" sz="1600" baseline="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 Increas</a:t>
          </a:r>
          <a:r>
            <a:rPr lang="en-US" sz="1600" dirty="0" err="1">
              <a:solidFill>
                <a:srgbClr xmlns:mc="http://schemas.openxmlformats.org/markup-compatibility/2006" xmlns:a14="http://schemas.microsoft.com/office/drawing/2010/main" val="000000" mc:Ignorable="a14" a14:legacySpreadsheetColorIndex="8"/>
              </a:solidFill>
              <a:latin typeface="+mj-lt"/>
              <a:ea typeface="Segoe UI" pitchFamily="34" charset="0"/>
              <a:cs typeface="Segoe UI" pitchFamily="34" charset="0"/>
            </a:rPr>
            <a:t>e</a:t>
          </a:r>
        </a:p>
      </xdr:txBody>
    </xdr:sp>
    <xdr:clientData/>
  </xdr:twoCellAnchor>
  <xdr:twoCellAnchor>
    <xdr:from>
      <xdr:col>0</xdr:col>
      <xdr:colOff>50800</xdr:colOff>
      <xdr:row>13</xdr:row>
      <xdr:rowOff>114300</xdr:rowOff>
    </xdr:from>
    <xdr:to>
      <xdr:col>0</xdr:col>
      <xdr:colOff>251968</xdr:colOff>
      <xdr:row>13</xdr:row>
      <xdr:rowOff>315468</xdr:rowOff>
    </xdr:to>
    <xdr:sp macro="[0]!InfoButton_Click" textlink="">
      <xdr:nvSpPr>
        <xdr:cNvPr id="125" name="btnInfo29">
          <a:extLst>
            <a:ext uri="{FF2B5EF4-FFF2-40B4-BE49-F238E27FC236}">
              <a16:creationId xmlns:a16="http://schemas.microsoft.com/office/drawing/2014/main" id="{00000000-0008-0000-1500-00007D000000}"/>
            </a:ext>
          </a:extLst>
        </xdr:cNvPr>
        <xdr:cNvSpPr/>
      </xdr:nvSpPr>
      <xdr:spPr>
        <a:xfrm>
          <a:off x="50800" y="40894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22</xdr:row>
      <xdr:rowOff>114300</xdr:rowOff>
    </xdr:from>
    <xdr:to>
      <xdr:col>0</xdr:col>
      <xdr:colOff>251968</xdr:colOff>
      <xdr:row>22</xdr:row>
      <xdr:rowOff>315468</xdr:rowOff>
    </xdr:to>
    <xdr:sp macro="[0]!InfoButton_Click" textlink="">
      <xdr:nvSpPr>
        <xdr:cNvPr id="135" name="btnInfo30">
          <a:extLst>
            <a:ext uri="{FF2B5EF4-FFF2-40B4-BE49-F238E27FC236}">
              <a16:creationId xmlns:a16="http://schemas.microsoft.com/office/drawing/2014/main" id="{00000000-0008-0000-1500-000087000000}"/>
            </a:ext>
          </a:extLst>
        </xdr:cNvPr>
        <xdr:cNvSpPr/>
      </xdr:nvSpPr>
      <xdr:spPr>
        <a:xfrm>
          <a:off x="50800" y="40894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39</xdr:row>
      <xdr:rowOff>50800</xdr:rowOff>
    </xdr:from>
    <xdr:to>
      <xdr:col>0</xdr:col>
      <xdr:colOff>251968</xdr:colOff>
      <xdr:row>39</xdr:row>
      <xdr:rowOff>251968</xdr:rowOff>
    </xdr:to>
    <xdr:sp macro="[0]!InfoButton_Click" textlink="">
      <xdr:nvSpPr>
        <xdr:cNvPr id="136" name="btnInfo31">
          <a:extLst>
            <a:ext uri="{FF2B5EF4-FFF2-40B4-BE49-F238E27FC236}">
              <a16:creationId xmlns:a16="http://schemas.microsoft.com/office/drawing/2014/main" id="{00000000-0008-0000-1500-000088000000}"/>
            </a:ext>
          </a:extLst>
        </xdr:cNvPr>
        <xdr:cNvSpPr/>
      </xdr:nvSpPr>
      <xdr:spPr>
        <a:xfrm>
          <a:off x="50800" y="54102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50800</xdr:colOff>
      <xdr:row>46</xdr:row>
      <xdr:rowOff>50800</xdr:rowOff>
    </xdr:from>
    <xdr:to>
      <xdr:col>0</xdr:col>
      <xdr:colOff>251968</xdr:colOff>
      <xdr:row>46</xdr:row>
      <xdr:rowOff>251968</xdr:rowOff>
    </xdr:to>
    <xdr:sp macro="[0]!InfoButton_Click" textlink="">
      <xdr:nvSpPr>
        <xdr:cNvPr id="137" name="btnInfo32">
          <a:extLst>
            <a:ext uri="{FF2B5EF4-FFF2-40B4-BE49-F238E27FC236}">
              <a16:creationId xmlns:a16="http://schemas.microsoft.com/office/drawing/2014/main" id="{00000000-0008-0000-1500-000089000000}"/>
            </a:ext>
          </a:extLst>
        </xdr:cNvPr>
        <xdr:cNvSpPr/>
      </xdr:nvSpPr>
      <xdr:spPr>
        <a:xfrm>
          <a:off x="50800" y="54102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2</xdr:col>
      <xdr:colOff>38100</xdr:colOff>
      <xdr:row>55</xdr:row>
      <xdr:rowOff>63500</xdr:rowOff>
    </xdr:from>
    <xdr:to>
      <xdr:col>2</xdr:col>
      <xdr:colOff>239268</xdr:colOff>
      <xdr:row>55</xdr:row>
      <xdr:rowOff>264668</xdr:rowOff>
    </xdr:to>
    <xdr:sp macro="[0]!InfoButton_Click" textlink="">
      <xdr:nvSpPr>
        <xdr:cNvPr id="138" name="btnInfo33">
          <a:extLst>
            <a:ext uri="{FF2B5EF4-FFF2-40B4-BE49-F238E27FC236}">
              <a16:creationId xmlns:a16="http://schemas.microsoft.com/office/drawing/2014/main" id="{00000000-0008-0000-1500-00008A000000}"/>
            </a:ext>
          </a:extLst>
        </xdr:cNvPr>
        <xdr:cNvSpPr/>
      </xdr:nvSpPr>
      <xdr:spPr>
        <a:xfrm>
          <a:off x="29718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6</xdr:col>
      <xdr:colOff>38100</xdr:colOff>
      <xdr:row>55</xdr:row>
      <xdr:rowOff>63500</xdr:rowOff>
    </xdr:from>
    <xdr:to>
      <xdr:col>6</xdr:col>
      <xdr:colOff>239268</xdr:colOff>
      <xdr:row>55</xdr:row>
      <xdr:rowOff>264668</xdr:rowOff>
    </xdr:to>
    <xdr:sp macro="[0]!InfoButton_Click" textlink="">
      <xdr:nvSpPr>
        <xdr:cNvPr id="139" name="btnInfo34">
          <a:extLst>
            <a:ext uri="{FF2B5EF4-FFF2-40B4-BE49-F238E27FC236}">
              <a16:creationId xmlns:a16="http://schemas.microsoft.com/office/drawing/2014/main" id="{00000000-0008-0000-1500-00008B000000}"/>
            </a:ext>
          </a:extLst>
        </xdr:cNvPr>
        <xdr:cNvSpPr/>
      </xdr:nvSpPr>
      <xdr:spPr>
        <a:xfrm>
          <a:off x="29718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10</xdr:col>
      <xdr:colOff>38100</xdr:colOff>
      <xdr:row>55</xdr:row>
      <xdr:rowOff>63500</xdr:rowOff>
    </xdr:from>
    <xdr:to>
      <xdr:col>10</xdr:col>
      <xdr:colOff>239268</xdr:colOff>
      <xdr:row>55</xdr:row>
      <xdr:rowOff>264668</xdr:rowOff>
    </xdr:to>
    <xdr:sp macro="[0]!InfoButton_Click" textlink="">
      <xdr:nvSpPr>
        <xdr:cNvPr id="140" name="btnInfo35">
          <a:extLst>
            <a:ext uri="{FF2B5EF4-FFF2-40B4-BE49-F238E27FC236}">
              <a16:creationId xmlns:a16="http://schemas.microsoft.com/office/drawing/2014/main" id="{00000000-0008-0000-1500-00008C000000}"/>
            </a:ext>
          </a:extLst>
        </xdr:cNvPr>
        <xdr:cNvSpPr/>
      </xdr:nvSpPr>
      <xdr:spPr>
        <a:xfrm>
          <a:off x="29718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2</xdr:col>
      <xdr:colOff>63500</xdr:colOff>
      <xdr:row>74</xdr:row>
      <xdr:rowOff>63500</xdr:rowOff>
    </xdr:from>
    <xdr:to>
      <xdr:col>2</xdr:col>
      <xdr:colOff>264668</xdr:colOff>
      <xdr:row>74</xdr:row>
      <xdr:rowOff>264668</xdr:rowOff>
    </xdr:to>
    <xdr:sp macro="[0]!InfoButton_Click" textlink="">
      <xdr:nvSpPr>
        <xdr:cNvPr id="141" name="btnInfo36">
          <a:extLst>
            <a:ext uri="{FF2B5EF4-FFF2-40B4-BE49-F238E27FC236}">
              <a16:creationId xmlns:a16="http://schemas.microsoft.com/office/drawing/2014/main" id="{00000000-0008-0000-1500-00008D000000}"/>
            </a:ext>
          </a:extLst>
        </xdr:cNvPr>
        <xdr:cNvSpPr/>
      </xdr:nvSpPr>
      <xdr:spPr>
        <a:xfrm>
          <a:off x="29972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6</xdr:col>
      <xdr:colOff>63500</xdr:colOff>
      <xdr:row>74</xdr:row>
      <xdr:rowOff>63500</xdr:rowOff>
    </xdr:from>
    <xdr:to>
      <xdr:col>6</xdr:col>
      <xdr:colOff>264668</xdr:colOff>
      <xdr:row>74</xdr:row>
      <xdr:rowOff>264668</xdr:rowOff>
    </xdr:to>
    <xdr:sp macro="[0]!InfoButton_Click" textlink="">
      <xdr:nvSpPr>
        <xdr:cNvPr id="142" name="btnInfo37">
          <a:extLst>
            <a:ext uri="{FF2B5EF4-FFF2-40B4-BE49-F238E27FC236}">
              <a16:creationId xmlns:a16="http://schemas.microsoft.com/office/drawing/2014/main" id="{00000000-0008-0000-1500-00008E000000}"/>
            </a:ext>
          </a:extLst>
        </xdr:cNvPr>
        <xdr:cNvSpPr/>
      </xdr:nvSpPr>
      <xdr:spPr>
        <a:xfrm>
          <a:off x="29972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10</xdr:col>
      <xdr:colOff>63500</xdr:colOff>
      <xdr:row>74</xdr:row>
      <xdr:rowOff>63500</xdr:rowOff>
    </xdr:from>
    <xdr:to>
      <xdr:col>10</xdr:col>
      <xdr:colOff>264668</xdr:colOff>
      <xdr:row>74</xdr:row>
      <xdr:rowOff>264668</xdr:rowOff>
    </xdr:to>
    <xdr:sp macro="[0]!InfoButton_Click" textlink="">
      <xdr:nvSpPr>
        <xdr:cNvPr id="143" name="btnInfo38">
          <a:extLst>
            <a:ext uri="{FF2B5EF4-FFF2-40B4-BE49-F238E27FC236}">
              <a16:creationId xmlns:a16="http://schemas.microsoft.com/office/drawing/2014/main" id="{00000000-0008-0000-1500-00008F000000}"/>
            </a:ext>
          </a:extLst>
        </xdr:cNvPr>
        <xdr:cNvSpPr/>
      </xdr:nvSpPr>
      <xdr:spPr>
        <a:xfrm>
          <a:off x="2997200" y="52197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0</xdr:col>
      <xdr:colOff>63500</xdr:colOff>
      <xdr:row>84</xdr:row>
      <xdr:rowOff>127000</xdr:rowOff>
    </xdr:from>
    <xdr:to>
      <xdr:col>0</xdr:col>
      <xdr:colOff>264668</xdr:colOff>
      <xdr:row>84</xdr:row>
      <xdr:rowOff>328168</xdr:rowOff>
    </xdr:to>
    <xdr:sp macro="[0]!InfoButton_Click" textlink="">
      <xdr:nvSpPr>
        <xdr:cNvPr id="144" name="btnInfo39">
          <a:extLst>
            <a:ext uri="{FF2B5EF4-FFF2-40B4-BE49-F238E27FC236}">
              <a16:creationId xmlns:a16="http://schemas.microsoft.com/office/drawing/2014/main" id="{00000000-0008-0000-1500-000090000000}"/>
            </a:ext>
          </a:extLst>
        </xdr:cNvPr>
        <xdr:cNvSpPr/>
      </xdr:nvSpPr>
      <xdr:spPr>
        <a:xfrm>
          <a:off x="63500" y="8458200"/>
          <a:ext cx="201168" cy="20116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Verdana" panose="020B0604030504040204" pitchFamily="34" charset="0"/>
              <a:ea typeface="Verdana" panose="020B0604030504040204" pitchFamily="34" charset="0"/>
              <a:cs typeface="Verdana" panose="020B0604030504040204" pitchFamily="34" charset="0"/>
            </a:rPr>
            <a:t>i</a:t>
          </a:r>
        </a:p>
      </xdr:txBody>
    </xdr:sp>
    <xdr:clientData/>
  </xdr:twoCellAnchor>
  <xdr:twoCellAnchor>
    <xdr:from>
      <xdr:col>7</xdr:col>
      <xdr:colOff>63500</xdr:colOff>
      <xdr:row>10</xdr:row>
      <xdr:rowOff>0</xdr:rowOff>
    </xdr:from>
    <xdr:to>
      <xdr:col>8</xdr:col>
      <xdr:colOff>76200</xdr:colOff>
      <xdr:row>10</xdr:row>
      <xdr:rowOff>1562100</xdr:rowOff>
    </xdr:to>
    <xdr:graphicFrame macro="">
      <xdr:nvGraphicFramePr>
        <xdr:cNvPr id="133" name="Chart 132">
          <a:extLst>
            <a:ext uri="{FF2B5EF4-FFF2-40B4-BE49-F238E27FC236}">
              <a16:creationId xmlns:a16="http://schemas.microsoft.com/office/drawing/2014/main" id="{00000000-0008-0000-1500-00008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63500</xdr:colOff>
      <xdr:row>10</xdr:row>
      <xdr:rowOff>0</xdr:rowOff>
    </xdr:from>
    <xdr:to>
      <xdr:col>10</xdr:col>
      <xdr:colOff>76200</xdr:colOff>
      <xdr:row>10</xdr:row>
      <xdr:rowOff>1562100</xdr:rowOff>
    </xdr:to>
    <xdr:graphicFrame macro="">
      <xdr:nvGraphicFramePr>
        <xdr:cNvPr id="134" name="Chart 133">
          <a:extLst>
            <a:ext uri="{FF2B5EF4-FFF2-40B4-BE49-F238E27FC236}">
              <a16:creationId xmlns:a16="http://schemas.microsoft.com/office/drawing/2014/main" id="{00000000-0008-0000-1500-00008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63500</xdr:colOff>
      <xdr:row>10</xdr:row>
      <xdr:rowOff>0</xdr:rowOff>
    </xdr:from>
    <xdr:to>
      <xdr:col>12</xdr:col>
      <xdr:colOff>76200</xdr:colOff>
      <xdr:row>10</xdr:row>
      <xdr:rowOff>1562100</xdr:rowOff>
    </xdr:to>
    <xdr:graphicFrame macro="">
      <xdr:nvGraphicFramePr>
        <xdr:cNvPr id="145" name="Chart 144">
          <a:extLst>
            <a:ext uri="{FF2B5EF4-FFF2-40B4-BE49-F238E27FC236}">
              <a16:creationId xmlns:a16="http://schemas.microsoft.com/office/drawing/2014/main" id="{00000000-0008-0000-15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63500</xdr:colOff>
      <xdr:row>10</xdr:row>
      <xdr:rowOff>0</xdr:rowOff>
    </xdr:from>
    <xdr:to>
      <xdr:col>14</xdr:col>
      <xdr:colOff>76200</xdr:colOff>
      <xdr:row>10</xdr:row>
      <xdr:rowOff>1562100</xdr:rowOff>
    </xdr:to>
    <xdr:graphicFrame macro="">
      <xdr:nvGraphicFramePr>
        <xdr:cNvPr id="146" name="Chart 145">
          <a:extLst>
            <a:ext uri="{FF2B5EF4-FFF2-40B4-BE49-F238E27FC236}">
              <a16:creationId xmlns:a16="http://schemas.microsoft.com/office/drawing/2014/main" id="{00000000-0008-0000-1500-00009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299720</xdr:colOff>
      <xdr:row>0</xdr:row>
      <xdr:rowOff>7620</xdr:rowOff>
    </xdr:from>
    <xdr:to>
      <xdr:col>9</xdr:col>
      <xdr:colOff>91440</xdr:colOff>
      <xdr:row>0</xdr:row>
      <xdr:rowOff>435445</xdr:rowOff>
    </xdr:to>
    <xdr:sp macro="" textlink="">
      <xdr:nvSpPr>
        <xdr:cNvPr id="96" name="Rectangle 95">
          <a:extLst>
            <a:ext uri="{FF2B5EF4-FFF2-40B4-BE49-F238E27FC236}">
              <a16:creationId xmlns:a16="http://schemas.microsoft.com/office/drawing/2014/main" id="{00000000-0008-0000-1500-000060000000}"/>
            </a:ext>
          </a:extLst>
        </xdr:cNvPr>
        <xdr:cNvSpPr/>
      </xdr:nvSpPr>
      <xdr:spPr bwMode="auto">
        <a:xfrm>
          <a:off x="8384540" y="7620"/>
          <a:ext cx="2298700"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Dashboard Tutorial</a:t>
          </a:r>
        </a:p>
      </xdr:txBody>
    </xdr:sp>
    <xdr:clientData/>
  </xdr:twoCellAnchor>
  <xdr:twoCellAnchor>
    <xdr:from>
      <xdr:col>7</xdr:col>
      <xdr:colOff>121920</xdr:colOff>
      <xdr:row>0</xdr:row>
      <xdr:rowOff>109220</xdr:rowOff>
    </xdr:from>
    <xdr:to>
      <xdr:col>7</xdr:col>
      <xdr:colOff>388620</xdr:colOff>
      <xdr:row>0</xdr:row>
      <xdr:rowOff>379247</xdr:rowOff>
    </xdr:to>
    <xdr:pic macro="[0]!ShowTutorial">
      <xdr:nvPicPr>
        <xdr:cNvPr id="106" name="btnTutorial1" descr="Image result for video icon">
          <a:extLst>
            <a:ext uri="{FF2B5EF4-FFF2-40B4-BE49-F238E27FC236}">
              <a16:creationId xmlns:a16="http://schemas.microsoft.com/office/drawing/2014/main" id="{00000000-0008-0000-1500-00006A000000}"/>
            </a:ext>
          </a:extLst>
        </xdr:cNvPr>
        <xdr:cNvPicPr>
          <a:picLocks noChangeAspect="1" noChangeArrowheads="1"/>
        </xdr:cNvPicPr>
      </xdr:nvPicPr>
      <xdr:blipFill>
        <a:blip xmlns:r="http://schemas.openxmlformats.org/officeDocument/2006/relationships" r:embed="rId11"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206740" y="109220"/>
          <a:ext cx="266700"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293811</xdr:colOff>
      <xdr:row>0</xdr:row>
      <xdr:rowOff>7620</xdr:rowOff>
    </xdr:from>
    <xdr:to>
      <xdr:col>11</xdr:col>
      <xdr:colOff>1334590</xdr:colOff>
      <xdr:row>0</xdr:row>
      <xdr:rowOff>435445</xdr:rowOff>
    </xdr:to>
    <xdr:sp macro="" textlink="">
      <xdr:nvSpPr>
        <xdr:cNvPr id="107" name="Rectangle 106">
          <a:extLst>
            <a:ext uri="{FF2B5EF4-FFF2-40B4-BE49-F238E27FC236}">
              <a16:creationId xmlns:a16="http://schemas.microsoft.com/office/drawing/2014/main" id="{00000000-0008-0000-1500-00006B000000}"/>
            </a:ext>
          </a:extLst>
        </xdr:cNvPr>
        <xdr:cNvSpPr/>
      </xdr:nvSpPr>
      <xdr:spPr bwMode="auto">
        <a:xfrm>
          <a:off x="10885611" y="7620"/>
          <a:ext cx="3547759"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2"/>
              </a:solidFill>
              <a:ea typeface="Segoe UI" pitchFamily="34" charset="0"/>
              <a:cs typeface="Segoe UI" pitchFamily="34" charset="0"/>
            </a:rPr>
            <a:t>Consumer </a:t>
          </a:r>
          <a:r>
            <a:rPr lang="en-US" sz="1800" baseline="0" dirty="0" err="1">
              <a:solidFill>
                <a:schemeClr val="accent2"/>
              </a:solidFill>
              <a:ea typeface="Segoe UI" pitchFamily="34" charset="0"/>
              <a:cs typeface="Segoe UI" pitchFamily="34" charset="0"/>
            </a:rPr>
            <a:t>Segment </a:t>
          </a:r>
          <a:r>
            <a:rPr lang="en-US" sz="1800" dirty="0" err="1">
              <a:solidFill>
                <a:schemeClr val="accent2"/>
              </a:solidFill>
              <a:ea typeface="Segoe UI" pitchFamily="34" charset="0"/>
              <a:cs typeface="Segoe UI" pitchFamily="34" charset="0"/>
            </a:rPr>
            <a:t>Tutorial</a:t>
          </a:r>
        </a:p>
      </xdr:txBody>
    </xdr:sp>
    <xdr:clientData/>
  </xdr:twoCellAnchor>
  <xdr:twoCellAnchor>
    <xdr:from>
      <xdr:col>9</xdr:col>
      <xdr:colOff>100510</xdr:colOff>
      <xdr:row>0</xdr:row>
      <xdr:rowOff>109220</xdr:rowOff>
    </xdr:from>
    <xdr:to>
      <xdr:col>9</xdr:col>
      <xdr:colOff>382841</xdr:colOff>
      <xdr:row>0</xdr:row>
      <xdr:rowOff>379247</xdr:rowOff>
    </xdr:to>
    <xdr:pic macro="[0]!ShowTutorial">
      <xdr:nvPicPr>
        <xdr:cNvPr id="108" name="btnTutorial4" descr="Image result for video icon">
          <a:extLst>
            <a:ext uri="{FF2B5EF4-FFF2-40B4-BE49-F238E27FC236}">
              <a16:creationId xmlns:a16="http://schemas.microsoft.com/office/drawing/2014/main" id="{00000000-0008-0000-1500-00006C000000}"/>
            </a:ext>
          </a:extLst>
        </xdr:cNvPr>
        <xdr:cNvPicPr>
          <a:picLocks noChangeAspect="1" noChangeArrowheads="1"/>
        </xdr:cNvPicPr>
      </xdr:nvPicPr>
      <xdr:blipFill>
        <a:blip xmlns:r="http://schemas.openxmlformats.org/officeDocument/2006/relationships" r:embed="rId12"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692310" y="109220"/>
          <a:ext cx="282331" cy="270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1582436</xdr:colOff>
      <xdr:row>0</xdr:row>
      <xdr:rowOff>7620</xdr:rowOff>
    </xdr:from>
    <xdr:to>
      <xdr:col>5</xdr:col>
      <xdr:colOff>1977065</xdr:colOff>
      <xdr:row>0</xdr:row>
      <xdr:rowOff>448409</xdr:rowOff>
    </xdr:to>
    <xdr:pic macro="[0]!ToolSave">
      <xdr:nvPicPr>
        <xdr:cNvPr id="3" name="Picture 2" descr="Image result for usb icon">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160276" y="7620"/>
          <a:ext cx="394629" cy="440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1645920</xdr:colOff>
      <xdr:row>0</xdr:row>
      <xdr:rowOff>36510</xdr:rowOff>
    </xdr:from>
    <xdr:to>
      <xdr:col>7</xdr:col>
      <xdr:colOff>259080</xdr:colOff>
      <xdr:row>0</xdr:row>
      <xdr:rowOff>464335</xdr:rowOff>
    </xdr:to>
    <xdr:sp macro="[0]!ToolSave" textlink="">
      <xdr:nvSpPr>
        <xdr:cNvPr id="4" name="Rectangle 3">
          <a:extLst>
            <a:ext uri="{FF2B5EF4-FFF2-40B4-BE49-F238E27FC236}">
              <a16:creationId xmlns:a16="http://schemas.microsoft.com/office/drawing/2014/main" id="{00000000-0008-0000-1600-000004000000}"/>
            </a:ext>
          </a:extLst>
        </xdr:cNvPr>
        <xdr:cNvSpPr/>
      </xdr:nvSpPr>
      <xdr:spPr bwMode="auto">
        <a:xfrm>
          <a:off x="7223760" y="36510"/>
          <a:ext cx="1120140" cy="427825"/>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4"/>
              </a:solidFill>
              <a:ea typeface="Segoe UI" pitchFamily="34" charset="0"/>
              <a:cs typeface="Segoe UI" pitchFamily="34" charset="0"/>
            </a:rPr>
            <a:t>   Save</a:t>
          </a:r>
        </a:p>
      </xdr:txBody>
    </xdr:sp>
    <xdr:clientData/>
  </xdr:twoCellAnchor>
  <xdr:twoCellAnchor>
    <xdr:from>
      <xdr:col>4</xdr:col>
      <xdr:colOff>216651</xdr:colOff>
      <xdr:row>0</xdr:row>
      <xdr:rowOff>38100</xdr:rowOff>
    </xdr:from>
    <xdr:to>
      <xdr:col>5</xdr:col>
      <xdr:colOff>1645921</xdr:colOff>
      <xdr:row>0</xdr:row>
      <xdr:rowOff>464818</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5504931" y="38100"/>
          <a:ext cx="1718830" cy="426718"/>
          <a:chOff x="22478480" y="1173480"/>
          <a:chExt cx="1905519" cy="485576"/>
        </a:xfrm>
      </xdr:grpSpPr>
      <xdr:grpSp>
        <xdr:nvGrpSpPr>
          <xdr:cNvPr id="9" name="Group 8">
            <a:extLst>
              <a:ext uri="{FF2B5EF4-FFF2-40B4-BE49-F238E27FC236}">
                <a16:creationId xmlns:a16="http://schemas.microsoft.com/office/drawing/2014/main" id="{00000000-0008-0000-1600-000009000000}"/>
              </a:ext>
            </a:extLst>
          </xdr:cNvPr>
          <xdr:cNvGrpSpPr/>
        </xdr:nvGrpSpPr>
        <xdr:grpSpPr>
          <a:xfrm>
            <a:off x="22538576" y="1173480"/>
            <a:ext cx="1611744" cy="453390"/>
            <a:chOff x="9448686" y="91440"/>
            <a:chExt cx="2057514" cy="502920"/>
          </a:xfrm>
        </xdr:grpSpPr>
        <xdr:sp macro="" textlink="">
          <xdr:nvSpPr>
            <xdr:cNvPr id="11" name="Rectangle 10">
              <a:extLst>
                <a:ext uri="{FF2B5EF4-FFF2-40B4-BE49-F238E27FC236}">
                  <a16:creationId xmlns:a16="http://schemas.microsoft.com/office/drawing/2014/main" id="{00000000-0008-0000-1600-00000B000000}"/>
                </a:ext>
              </a:extLst>
            </xdr:cNvPr>
            <xdr:cNvSpPr/>
          </xdr:nvSpPr>
          <xdr:spPr bwMode="auto">
            <a:xfrm>
              <a:off x="9479280" y="91440"/>
              <a:ext cx="2026920" cy="502920"/>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4"/>
                  </a:solidFill>
                  <a:ea typeface="Segoe UI" pitchFamily="34" charset="0"/>
                  <a:cs typeface="Segoe UI" pitchFamily="34" charset="0"/>
                </a:rPr>
                <a:t>   Navigation</a:t>
              </a:r>
            </a:p>
          </xdr:txBody>
        </xdr:sp>
        <xdr:pic>
          <xdr:nvPicPr>
            <xdr:cNvPr id="12" name="Picture 11" descr="Image result for gps icon">
              <a:extLst>
                <a:ext uri="{FF2B5EF4-FFF2-40B4-BE49-F238E27FC236}">
                  <a16:creationId xmlns:a16="http://schemas.microsoft.com/office/drawing/2014/main" id="{00000000-0008-0000-1600-00000C000000}"/>
                </a:ext>
              </a:extLst>
            </xdr:cNvPr>
            <xdr:cNvPicPr>
              <a:picLocks noChangeAspect="1" noChangeArrowheads="1"/>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9448686" y="182880"/>
              <a:ext cx="365873" cy="374296"/>
            </a:xfrm>
            <a:prstGeom prst="rect">
              <a:avLst/>
            </a:prstGeom>
            <a:noFill/>
            <a:extLst>
              <a:ext uri="{909E8E84-426E-40DD-AFC4-6F175D3DCCD1}">
                <a14:hiddenFill xmlns:a14="http://schemas.microsoft.com/office/drawing/2010/main">
                  <a:solidFill>
                    <a:srgbClr val="FFFFFF"/>
                  </a:solidFill>
                </a14:hiddenFill>
              </a:ext>
            </a:extLst>
          </xdr:spPr>
        </xdr:pic>
      </xdr:grpSp>
      <xdr:sp macro="[0]!ShowNavigation" textlink="">
        <xdr:nvSpPr>
          <xdr:cNvPr id="10" name="Rectangle 9">
            <a:extLst>
              <a:ext uri="{FF2B5EF4-FFF2-40B4-BE49-F238E27FC236}">
                <a16:creationId xmlns:a16="http://schemas.microsoft.com/office/drawing/2014/main" id="{00000000-0008-0000-1600-00000A000000}"/>
              </a:ext>
            </a:extLst>
          </xdr:cNvPr>
          <xdr:cNvSpPr/>
        </xdr:nvSpPr>
        <xdr:spPr bwMode="auto">
          <a:xfrm>
            <a:off x="22478480" y="1185248"/>
            <a:ext cx="1905519" cy="473808"/>
          </a:xfrm>
          <a:prstGeom prst="rect">
            <a:avLst/>
          </a:prstGeom>
          <a:noFill/>
          <a:ln>
            <a:noFill/>
            <a:headEnd type="none" w="med" len="med"/>
            <a:tailEnd type="none" w="med" len="med"/>
          </a:ln>
        </xdr:spPr>
        <xdr:style>
          <a:lnRef idx="2">
            <a:schemeClr val="accent4">
              <a:shade val="50000"/>
            </a:schemeClr>
          </a:lnRef>
          <a:fillRef idx="1">
            <a:schemeClr val="accent4"/>
          </a:fillRef>
          <a:effectRef idx="0">
            <a:schemeClr val="accent4"/>
          </a:effectRef>
          <a:fontRef idx="minor">
            <a:schemeClr val="lt1"/>
          </a:fontRef>
        </xdr:style>
        <xdr:txBody>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p>
            <a:pPr algn="l" defTabSz="932472" fontAlgn="base">
              <a:lnSpc>
                <a:spcPct val="90000"/>
              </a:lnSpc>
              <a:spcBef>
                <a:spcPct val="0"/>
              </a:spcBef>
              <a:spcAft>
                <a:spcPct val="0"/>
              </a:spcAft>
            </a:pPr>
            <a:r>
              <a:rPr lang="en-US" sz="1800" dirty="0" err="1">
                <a:solidFill>
                  <a:schemeClr val="accent4"/>
                </a:solidFill>
                <a:ea typeface="Segoe UI" pitchFamily="34" charset="0"/>
                <a:cs typeface="Segoe UI" pitchFamily="34" charset="0"/>
              </a:rPr>
              <a:t>   Navigation</a:t>
            </a:r>
          </a:p>
        </xdr:txBody>
      </xdr:sp>
    </xdr:grpSp>
    <xdr:clientData/>
  </xdr:twoCellAnchor>
  <xdr:twoCellAnchor>
    <xdr:from>
      <xdr:col>0</xdr:col>
      <xdr:colOff>108191</xdr:colOff>
      <xdr:row>2</xdr:row>
      <xdr:rowOff>211243</xdr:rowOff>
    </xdr:from>
    <xdr:to>
      <xdr:col>1</xdr:col>
      <xdr:colOff>504431</xdr:colOff>
      <xdr:row>4</xdr:row>
      <xdr:rowOff>13123</xdr:rowOff>
    </xdr:to>
    <xdr:grpSp>
      <xdr:nvGrpSpPr>
        <xdr:cNvPr id="85" name="Group 84">
          <a:extLst>
            <a:ext uri="{FF2B5EF4-FFF2-40B4-BE49-F238E27FC236}">
              <a16:creationId xmlns:a16="http://schemas.microsoft.com/office/drawing/2014/main" id="{00000000-0008-0000-1600-000055000000}"/>
            </a:ext>
          </a:extLst>
        </xdr:cNvPr>
        <xdr:cNvGrpSpPr/>
      </xdr:nvGrpSpPr>
      <xdr:grpSpPr>
        <a:xfrm>
          <a:off x="108191" y="1133263"/>
          <a:ext cx="685800" cy="685800"/>
          <a:chOff x="108191" y="1140883"/>
          <a:chExt cx="685800" cy="685800"/>
        </a:xfrm>
      </xdr:grpSpPr>
      <xdr:sp macro="" textlink="">
        <xdr:nvSpPr>
          <xdr:cNvPr id="20" name="Oval 19">
            <a:extLst>
              <a:ext uri="{FF2B5EF4-FFF2-40B4-BE49-F238E27FC236}">
                <a16:creationId xmlns:a16="http://schemas.microsoft.com/office/drawing/2014/main" id="{00000000-0008-0000-1600-000014000000}"/>
              </a:ext>
            </a:extLst>
          </xdr:cNvPr>
          <xdr:cNvSpPr/>
        </xdr:nvSpPr>
        <xdr:spPr bwMode="auto">
          <a:xfrm>
            <a:off x="108191" y="1140883"/>
            <a:ext cx="685800" cy="685800"/>
          </a:xfrm>
          <a:prstGeom prst="ellipse">
            <a:avLst/>
          </a:prstGeom>
          <a:solidFill>
            <a:sysClr val="window" lastClr="FFFFFF"/>
          </a:solidFill>
          <a:ln w="19050">
            <a:noFill/>
            <a:headEnd type="none" w="med" len="med"/>
            <a:tailEnd type="none" w="med" len="med"/>
          </a:ln>
          <a:effectLst/>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182880" tIns="146304" rIns="182880" bIns="146304" numCol="1" spcCol="0" rtlCol="0" fromWordArt="0" anchor="t" anchorCtr="0" forceAA="0" compatLnSpc="1">
            <a:prstTxWarp prst="textNoShape">
              <a:avLst/>
            </a:prstTxWarp>
            <a:noAutofit/>
          </a:bodyPr>
          <a:lstStyle/>
          <a:p>
            <a:pPr algn="l" defTabSz="932472" fontAlgn="base">
              <a:lnSpc>
                <a:spcPct val="90000"/>
              </a:lnSpc>
              <a:spcBef>
                <a:spcPct val="0"/>
              </a:spcBef>
              <a:spcAft>
                <a:spcPct val="0"/>
              </a:spcAft>
            </a:pPr>
            <a:endParaRPr lang="en-US" sz="2400" dirty="0" err="1">
              <a:solidFill>
                <a:schemeClr val="tx2"/>
              </a:solidFill>
              <a:ea typeface="Segoe UI" pitchFamily="34" charset="0"/>
              <a:cs typeface="Segoe UI" pitchFamily="34" charset="0"/>
            </a:endParaRPr>
          </a:p>
        </xdr:txBody>
      </xdr:sp>
      <xdr:pic>
        <xdr:nvPicPr>
          <xdr:cNvPr id="82" name="Picture 81" descr="Image result for report black icon">
            <a:extLst>
              <a:ext uri="{FF2B5EF4-FFF2-40B4-BE49-F238E27FC236}">
                <a16:creationId xmlns:a16="http://schemas.microsoft.com/office/drawing/2014/main" id="{00000000-0008-0000-1600-000052000000}"/>
              </a:ext>
            </a:extLst>
          </xdr:cNvPr>
          <xdr:cNvPicPr>
            <a:picLocks noChangeAspect="1" noChangeArrowheads="1"/>
          </xdr:cNvPicPr>
        </xdr:nvPicPr>
        <xdr:blipFill>
          <a:blip xmlns:r="http://schemas.openxmlformats.org/officeDocument/2006/relationships" r:embed="rId3"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89559" y="1280160"/>
            <a:ext cx="326633" cy="41147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21</xdr:row>
      <xdr:rowOff>107156</xdr:rowOff>
    </xdr:from>
    <xdr:to>
      <xdr:col>8</xdr:col>
      <xdr:colOff>976312</xdr:colOff>
      <xdr:row>21</xdr:row>
      <xdr:rowOff>107474</xdr:rowOff>
    </xdr:to>
    <xdr:cxnSp macro="">
      <xdr:nvCxnSpPr>
        <xdr:cNvPr id="2" name="Straight Arrow Connector 1">
          <a:extLst>
            <a:ext uri="{FF2B5EF4-FFF2-40B4-BE49-F238E27FC236}">
              <a16:creationId xmlns:a16="http://schemas.microsoft.com/office/drawing/2014/main" id="{00000000-0008-0000-1F00-000002000000}"/>
            </a:ext>
          </a:extLst>
        </xdr:cNvPr>
        <xdr:cNvCxnSpPr/>
      </xdr:nvCxnSpPr>
      <xdr:spPr>
        <a:xfrm flipV="1">
          <a:off x="4975860" y="659177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21</xdr:row>
      <xdr:rowOff>107156</xdr:rowOff>
    </xdr:from>
    <xdr:to>
      <xdr:col>13</xdr:col>
      <xdr:colOff>976312</xdr:colOff>
      <xdr:row>21</xdr:row>
      <xdr:rowOff>107474</xdr:rowOff>
    </xdr:to>
    <xdr:cxnSp macro="">
      <xdr:nvCxnSpPr>
        <xdr:cNvPr id="3" name="Straight Arrow Connector 2">
          <a:extLst>
            <a:ext uri="{FF2B5EF4-FFF2-40B4-BE49-F238E27FC236}">
              <a16:creationId xmlns:a16="http://schemas.microsoft.com/office/drawing/2014/main" id="{00000000-0008-0000-1F00-000003000000}"/>
            </a:ext>
          </a:extLst>
        </xdr:cNvPr>
        <xdr:cNvCxnSpPr/>
      </xdr:nvCxnSpPr>
      <xdr:spPr>
        <a:xfrm flipV="1">
          <a:off x="10576560" y="659177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21</xdr:row>
      <xdr:rowOff>107156</xdr:rowOff>
    </xdr:from>
    <xdr:to>
      <xdr:col>8</xdr:col>
      <xdr:colOff>976312</xdr:colOff>
      <xdr:row>21</xdr:row>
      <xdr:rowOff>107474</xdr:rowOff>
    </xdr:to>
    <xdr:cxnSp macro="">
      <xdr:nvCxnSpPr>
        <xdr:cNvPr id="4" name="Straight Arrow Connector 3">
          <a:extLst>
            <a:ext uri="{FF2B5EF4-FFF2-40B4-BE49-F238E27FC236}">
              <a16:creationId xmlns:a16="http://schemas.microsoft.com/office/drawing/2014/main" id="{00000000-0008-0000-1F00-000004000000}"/>
            </a:ext>
          </a:extLst>
        </xdr:cNvPr>
        <xdr:cNvCxnSpPr/>
      </xdr:nvCxnSpPr>
      <xdr:spPr>
        <a:xfrm flipV="1">
          <a:off x="4975860" y="659177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21</xdr:row>
      <xdr:rowOff>107156</xdr:rowOff>
    </xdr:from>
    <xdr:to>
      <xdr:col>13</xdr:col>
      <xdr:colOff>976312</xdr:colOff>
      <xdr:row>21</xdr:row>
      <xdr:rowOff>107474</xdr:rowOff>
    </xdr:to>
    <xdr:cxnSp macro="">
      <xdr:nvCxnSpPr>
        <xdr:cNvPr id="5" name="Straight Arrow Connector 4">
          <a:extLst>
            <a:ext uri="{FF2B5EF4-FFF2-40B4-BE49-F238E27FC236}">
              <a16:creationId xmlns:a16="http://schemas.microsoft.com/office/drawing/2014/main" id="{00000000-0008-0000-1F00-000005000000}"/>
            </a:ext>
          </a:extLst>
        </xdr:cNvPr>
        <xdr:cNvCxnSpPr/>
      </xdr:nvCxnSpPr>
      <xdr:spPr>
        <a:xfrm flipV="1">
          <a:off x="10576560" y="659177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40</xdr:row>
      <xdr:rowOff>107156</xdr:rowOff>
    </xdr:from>
    <xdr:to>
      <xdr:col>8</xdr:col>
      <xdr:colOff>976312</xdr:colOff>
      <xdr:row>40</xdr:row>
      <xdr:rowOff>107474</xdr:rowOff>
    </xdr:to>
    <xdr:cxnSp macro="">
      <xdr:nvCxnSpPr>
        <xdr:cNvPr id="6" name="Straight Arrow Connector 5">
          <a:extLst>
            <a:ext uri="{FF2B5EF4-FFF2-40B4-BE49-F238E27FC236}">
              <a16:creationId xmlns:a16="http://schemas.microsoft.com/office/drawing/2014/main" id="{00000000-0008-0000-1F00-000006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40</xdr:row>
      <xdr:rowOff>107156</xdr:rowOff>
    </xdr:from>
    <xdr:to>
      <xdr:col>13</xdr:col>
      <xdr:colOff>976312</xdr:colOff>
      <xdr:row>40</xdr:row>
      <xdr:rowOff>107474</xdr:rowOff>
    </xdr:to>
    <xdr:cxnSp macro="">
      <xdr:nvCxnSpPr>
        <xdr:cNvPr id="7" name="Straight Arrow Connector 6">
          <a:extLst>
            <a:ext uri="{FF2B5EF4-FFF2-40B4-BE49-F238E27FC236}">
              <a16:creationId xmlns:a16="http://schemas.microsoft.com/office/drawing/2014/main" id="{00000000-0008-0000-1F00-000007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40</xdr:row>
      <xdr:rowOff>107156</xdr:rowOff>
    </xdr:from>
    <xdr:to>
      <xdr:col>8</xdr:col>
      <xdr:colOff>976312</xdr:colOff>
      <xdr:row>40</xdr:row>
      <xdr:rowOff>107474</xdr:rowOff>
    </xdr:to>
    <xdr:cxnSp macro="">
      <xdr:nvCxnSpPr>
        <xdr:cNvPr id="8" name="Straight Arrow Connector 7">
          <a:extLst>
            <a:ext uri="{FF2B5EF4-FFF2-40B4-BE49-F238E27FC236}">
              <a16:creationId xmlns:a16="http://schemas.microsoft.com/office/drawing/2014/main" id="{00000000-0008-0000-1F00-000008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40</xdr:row>
      <xdr:rowOff>107156</xdr:rowOff>
    </xdr:from>
    <xdr:to>
      <xdr:col>13</xdr:col>
      <xdr:colOff>976312</xdr:colOff>
      <xdr:row>40</xdr:row>
      <xdr:rowOff>107474</xdr:rowOff>
    </xdr:to>
    <xdr:cxnSp macro="">
      <xdr:nvCxnSpPr>
        <xdr:cNvPr id="9" name="Straight Arrow Connector 8">
          <a:extLst>
            <a:ext uri="{FF2B5EF4-FFF2-40B4-BE49-F238E27FC236}">
              <a16:creationId xmlns:a16="http://schemas.microsoft.com/office/drawing/2014/main" id="{00000000-0008-0000-1F00-000009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40</xdr:row>
      <xdr:rowOff>107156</xdr:rowOff>
    </xdr:from>
    <xdr:to>
      <xdr:col>8</xdr:col>
      <xdr:colOff>976312</xdr:colOff>
      <xdr:row>40</xdr:row>
      <xdr:rowOff>107474</xdr:rowOff>
    </xdr:to>
    <xdr:cxnSp macro="">
      <xdr:nvCxnSpPr>
        <xdr:cNvPr id="10" name="Straight Arrow Connector 9">
          <a:extLst>
            <a:ext uri="{FF2B5EF4-FFF2-40B4-BE49-F238E27FC236}">
              <a16:creationId xmlns:a16="http://schemas.microsoft.com/office/drawing/2014/main" id="{00000000-0008-0000-1F00-00000A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40</xdr:row>
      <xdr:rowOff>107156</xdr:rowOff>
    </xdr:from>
    <xdr:to>
      <xdr:col>13</xdr:col>
      <xdr:colOff>976312</xdr:colOff>
      <xdr:row>40</xdr:row>
      <xdr:rowOff>107474</xdr:rowOff>
    </xdr:to>
    <xdr:cxnSp macro="">
      <xdr:nvCxnSpPr>
        <xdr:cNvPr id="11" name="Straight Arrow Connector 10">
          <a:extLst>
            <a:ext uri="{FF2B5EF4-FFF2-40B4-BE49-F238E27FC236}">
              <a16:creationId xmlns:a16="http://schemas.microsoft.com/office/drawing/2014/main" id="{00000000-0008-0000-1F00-00000B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40</xdr:row>
      <xdr:rowOff>107156</xdr:rowOff>
    </xdr:from>
    <xdr:to>
      <xdr:col>8</xdr:col>
      <xdr:colOff>976312</xdr:colOff>
      <xdr:row>40</xdr:row>
      <xdr:rowOff>107474</xdr:rowOff>
    </xdr:to>
    <xdr:cxnSp macro="">
      <xdr:nvCxnSpPr>
        <xdr:cNvPr id="12" name="Straight Arrow Connector 11">
          <a:extLst>
            <a:ext uri="{FF2B5EF4-FFF2-40B4-BE49-F238E27FC236}">
              <a16:creationId xmlns:a16="http://schemas.microsoft.com/office/drawing/2014/main" id="{00000000-0008-0000-1F00-00000C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40</xdr:row>
      <xdr:rowOff>107156</xdr:rowOff>
    </xdr:from>
    <xdr:to>
      <xdr:col>13</xdr:col>
      <xdr:colOff>976312</xdr:colOff>
      <xdr:row>40</xdr:row>
      <xdr:rowOff>107474</xdr:rowOff>
    </xdr:to>
    <xdr:cxnSp macro="">
      <xdr:nvCxnSpPr>
        <xdr:cNvPr id="13" name="Straight Arrow Connector 12">
          <a:extLst>
            <a:ext uri="{FF2B5EF4-FFF2-40B4-BE49-F238E27FC236}">
              <a16:creationId xmlns:a16="http://schemas.microsoft.com/office/drawing/2014/main" id="{00000000-0008-0000-1F00-00000D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40</xdr:row>
      <xdr:rowOff>107156</xdr:rowOff>
    </xdr:from>
    <xdr:to>
      <xdr:col>8</xdr:col>
      <xdr:colOff>976312</xdr:colOff>
      <xdr:row>40</xdr:row>
      <xdr:rowOff>107474</xdr:rowOff>
    </xdr:to>
    <xdr:cxnSp macro="">
      <xdr:nvCxnSpPr>
        <xdr:cNvPr id="14" name="Straight Arrow Connector 13">
          <a:extLst>
            <a:ext uri="{FF2B5EF4-FFF2-40B4-BE49-F238E27FC236}">
              <a16:creationId xmlns:a16="http://schemas.microsoft.com/office/drawing/2014/main" id="{00000000-0008-0000-1F00-00000E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40</xdr:row>
      <xdr:rowOff>107156</xdr:rowOff>
    </xdr:from>
    <xdr:to>
      <xdr:col>13</xdr:col>
      <xdr:colOff>976312</xdr:colOff>
      <xdr:row>40</xdr:row>
      <xdr:rowOff>107474</xdr:rowOff>
    </xdr:to>
    <xdr:cxnSp macro="">
      <xdr:nvCxnSpPr>
        <xdr:cNvPr id="15" name="Straight Arrow Connector 14">
          <a:extLst>
            <a:ext uri="{FF2B5EF4-FFF2-40B4-BE49-F238E27FC236}">
              <a16:creationId xmlns:a16="http://schemas.microsoft.com/office/drawing/2014/main" id="{00000000-0008-0000-1F00-00000F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59</xdr:row>
      <xdr:rowOff>107156</xdr:rowOff>
    </xdr:from>
    <xdr:to>
      <xdr:col>8</xdr:col>
      <xdr:colOff>976312</xdr:colOff>
      <xdr:row>59</xdr:row>
      <xdr:rowOff>107474</xdr:rowOff>
    </xdr:to>
    <xdr:cxnSp macro="">
      <xdr:nvCxnSpPr>
        <xdr:cNvPr id="16" name="Straight Arrow Connector 15">
          <a:extLst>
            <a:ext uri="{FF2B5EF4-FFF2-40B4-BE49-F238E27FC236}">
              <a16:creationId xmlns:a16="http://schemas.microsoft.com/office/drawing/2014/main" id="{00000000-0008-0000-1F00-000010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59</xdr:row>
      <xdr:rowOff>107156</xdr:rowOff>
    </xdr:from>
    <xdr:to>
      <xdr:col>13</xdr:col>
      <xdr:colOff>976312</xdr:colOff>
      <xdr:row>59</xdr:row>
      <xdr:rowOff>107474</xdr:rowOff>
    </xdr:to>
    <xdr:cxnSp macro="">
      <xdr:nvCxnSpPr>
        <xdr:cNvPr id="17" name="Straight Arrow Connector 16">
          <a:extLst>
            <a:ext uri="{FF2B5EF4-FFF2-40B4-BE49-F238E27FC236}">
              <a16:creationId xmlns:a16="http://schemas.microsoft.com/office/drawing/2014/main" id="{00000000-0008-0000-1F00-000011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59</xdr:row>
      <xdr:rowOff>107156</xdr:rowOff>
    </xdr:from>
    <xdr:to>
      <xdr:col>8</xdr:col>
      <xdr:colOff>976312</xdr:colOff>
      <xdr:row>59</xdr:row>
      <xdr:rowOff>107474</xdr:rowOff>
    </xdr:to>
    <xdr:cxnSp macro="">
      <xdr:nvCxnSpPr>
        <xdr:cNvPr id="18" name="Straight Arrow Connector 17">
          <a:extLst>
            <a:ext uri="{FF2B5EF4-FFF2-40B4-BE49-F238E27FC236}">
              <a16:creationId xmlns:a16="http://schemas.microsoft.com/office/drawing/2014/main" id="{00000000-0008-0000-1F00-000012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59</xdr:row>
      <xdr:rowOff>107156</xdr:rowOff>
    </xdr:from>
    <xdr:to>
      <xdr:col>13</xdr:col>
      <xdr:colOff>976312</xdr:colOff>
      <xdr:row>59</xdr:row>
      <xdr:rowOff>107474</xdr:rowOff>
    </xdr:to>
    <xdr:cxnSp macro="">
      <xdr:nvCxnSpPr>
        <xdr:cNvPr id="19" name="Straight Arrow Connector 18">
          <a:extLst>
            <a:ext uri="{FF2B5EF4-FFF2-40B4-BE49-F238E27FC236}">
              <a16:creationId xmlns:a16="http://schemas.microsoft.com/office/drawing/2014/main" id="{00000000-0008-0000-1F00-000013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59</xdr:row>
      <xdr:rowOff>107156</xdr:rowOff>
    </xdr:from>
    <xdr:to>
      <xdr:col>8</xdr:col>
      <xdr:colOff>976312</xdr:colOff>
      <xdr:row>59</xdr:row>
      <xdr:rowOff>107474</xdr:rowOff>
    </xdr:to>
    <xdr:cxnSp macro="">
      <xdr:nvCxnSpPr>
        <xdr:cNvPr id="20" name="Straight Arrow Connector 19">
          <a:extLst>
            <a:ext uri="{FF2B5EF4-FFF2-40B4-BE49-F238E27FC236}">
              <a16:creationId xmlns:a16="http://schemas.microsoft.com/office/drawing/2014/main" id="{00000000-0008-0000-1F00-000014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59</xdr:row>
      <xdr:rowOff>107156</xdr:rowOff>
    </xdr:from>
    <xdr:to>
      <xdr:col>13</xdr:col>
      <xdr:colOff>976312</xdr:colOff>
      <xdr:row>59</xdr:row>
      <xdr:rowOff>107474</xdr:rowOff>
    </xdr:to>
    <xdr:cxnSp macro="">
      <xdr:nvCxnSpPr>
        <xdr:cNvPr id="21" name="Straight Arrow Connector 20">
          <a:extLst>
            <a:ext uri="{FF2B5EF4-FFF2-40B4-BE49-F238E27FC236}">
              <a16:creationId xmlns:a16="http://schemas.microsoft.com/office/drawing/2014/main" id="{00000000-0008-0000-1F00-000015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59</xdr:row>
      <xdr:rowOff>107156</xdr:rowOff>
    </xdr:from>
    <xdr:to>
      <xdr:col>8</xdr:col>
      <xdr:colOff>976312</xdr:colOff>
      <xdr:row>59</xdr:row>
      <xdr:rowOff>107474</xdr:rowOff>
    </xdr:to>
    <xdr:cxnSp macro="">
      <xdr:nvCxnSpPr>
        <xdr:cNvPr id="22" name="Straight Arrow Connector 21">
          <a:extLst>
            <a:ext uri="{FF2B5EF4-FFF2-40B4-BE49-F238E27FC236}">
              <a16:creationId xmlns:a16="http://schemas.microsoft.com/office/drawing/2014/main" id="{00000000-0008-0000-1F00-000016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59</xdr:row>
      <xdr:rowOff>107156</xdr:rowOff>
    </xdr:from>
    <xdr:to>
      <xdr:col>13</xdr:col>
      <xdr:colOff>976312</xdr:colOff>
      <xdr:row>59</xdr:row>
      <xdr:rowOff>107474</xdr:rowOff>
    </xdr:to>
    <xdr:cxnSp macro="">
      <xdr:nvCxnSpPr>
        <xdr:cNvPr id="23" name="Straight Arrow Connector 22">
          <a:extLst>
            <a:ext uri="{FF2B5EF4-FFF2-40B4-BE49-F238E27FC236}">
              <a16:creationId xmlns:a16="http://schemas.microsoft.com/office/drawing/2014/main" id="{00000000-0008-0000-1F00-000017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59</xdr:row>
      <xdr:rowOff>107156</xdr:rowOff>
    </xdr:from>
    <xdr:to>
      <xdr:col>8</xdr:col>
      <xdr:colOff>976312</xdr:colOff>
      <xdr:row>59</xdr:row>
      <xdr:rowOff>107474</xdr:rowOff>
    </xdr:to>
    <xdr:cxnSp macro="">
      <xdr:nvCxnSpPr>
        <xdr:cNvPr id="24" name="Straight Arrow Connector 23">
          <a:extLst>
            <a:ext uri="{FF2B5EF4-FFF2-40B4-BE49-F238E27FC236}">
              <a16:creationId xmlns:a16="http://schemas.microsoft.com/office/drawing/2014/main" id="{00000000-0008-0000-1F00-000018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59</xdr:row>
      <xdr:rowOff>107156</xdr:rowOff>
    </xdr:from>
    <xdr:to>
      <xdr:col>13</xdr:col>
      <xdr:colOff>976312</xdr:colOff>
      <xdr:row>59</xdr:row>
      <xdr:rowOff>107474</xdr:rowOff>
    </xdr:to>
    <xdr:cxnSp macro="">
      <xdr:nvCxnSpPr>
        <xdr:cNvPr id="25" name="Straight Arrow Connector 24">
          <a:extLst>
            <a:ext uri="{FF2B5EF4-FFF2-40B4-BE49-F238E27FC236}">
              <a16:creationId xmlns:a16="http://schemas.microsoft.com/office/drawing/2014/main" id="{00000000-0008-0000-1F00-000019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78</xdr:row>
      <xdr:rowOff>107156</xdr:rowOff>
    </xdr:from>
    <xdr:to>
      <xdr:col>8</xdr:col>
      <xdr:colOff>976312</xdr:colOff>
      <xdr:row>78</xdr:row>
      <xdr:rowOff>107474</xdr:rowOff>
    </xdr:to>
    <xdr:cxnSp macro="">
      <xdr:nvCxnSpPr>
        <xdr:cNvPr id="26" name="Straight Arrow Connector 25">
          <a:extLst>
            <a:ext uri="{FF2B5EF4-FFF2-40B4-BE49-F238E27FC236}">
              <a16:creationId xmlns:a16="http://schemas.microsoft.com/office/drawing/2014/main" id="{00000000-0008-0000-1F00-00001A000000}"/>
            </a:ext>
          </a:extLst>
        </xdr:cNvPr>
        <xdr:cNvCxnSpPr/>
      </xdr:nvCxnSpPr>
      <xdr:spPr>
        <a:xfrm flipV="1">
          <a:off x="4975860" y="7696676"/>
          <a:ext cx="575405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78</xdr:row>
      <xdr:rowOff>107156</xdr:rowOff>
    </xdr:from>
    <xdr:to>
      <xdr:col>13</xdr:col>
      <xdr:colOff>976312</xdr:colOff>
      <xdr:row>78</xdr:row>
      <xdr:rowOff>107474</xdr:rowOff>
    </xdr:to>
    <xdr:cxnSp macro="">
      <xdr:nvCxnSpPr>
        <xdr:cNvPr id="27" name="Straight Arrow Connector 26">
          <a:extLst>
            <a:ext uri="{FF2B5EF4-FFF2-40B4-BE49-F238E27FC236}">
              <a16:creationId xmlns:a16="http://schemas.microsoft.com/office/drawing/2014/main" id="{00000000-0008-0000-1F00-00001B000000}"/>
            </a:ext>
          </a:extLst>
        </xdr:cNvPr>
        <xdr:cNvCxnSpPr/>
      </xdr:nvCxnSpPr>
      <xdr:spPr>
        <a:xfrm flipV="1">
          <a:off x="10774680" y="769667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4</xdr:col>
      <xdr:colOff>0</xdr:colOff>
      <xdr:row>98</xdr:row>
      <xdr:rowOff>107156</xdr:rowOff>
    </xdr:from>
    <xdr:to>
      <xdr:col>8</xdr:col>
      <xdr:colOff>976312</xdr:colOff>
      <xdr:row>98</xdr:row>
      <xdr:rowOff>107474</xdr:rowOff>
    </xdr:to>
    <xdr:cxnSp macro="">
      <xdr:nvCxnSpPr>
        <xdr:cNvPr id="29" name="Straight Arrow Connector 28">
          <a:extLst>
            <a:ext uri="{FF2B5EF4-FFF2-40B4-BE49-F238E27FC236}">
              <a16:creationId xmlns:a16="http://schemas.microsoft.com/office/drawing/2014/main" id="{00000000-0008-0000-1F00-00001D000000}"/>
            </a:ext>
          </a:extLst>
        </xdr:cNvPr>
        <xdr:cNvCxnSpPr/>
      </xdr:nvCxnSpPr>
      <xdr:spPr>
        <a:xfrm flipV="1">
          <a:off x="49758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9</xdr:col>
      <xdr:colOff>0</xdr:colOff>
      <xdr:row>98</xdr:row>
      <xdr:rowOff>107156</xdr:rowOff>
    </xdr:from>
    <xdr:to>
      <xdr:col>13</xdr:col>
      <xdr:colOff>976312</xdr:colOff>
      <xdr:row>98</xdr:row>
      <xdr:rowOff>107474</xdr:rowOff>
    </xdr:to>
    <xdr:cxnSp macro="">
      <xdr:nvCxnSpPr>
        <xdr:cNvPr id="30" name="Straight Arrow Connector 29">
          <a:extLst>
            <a:ext uri="{FF2B5EF4-FFF2-40B4-BE49-F238E27FC236}">
              <a16:creationId xmlns:a16="http://schemas.microsoft.com/office/drawing/2014/main" id="{00000000-0008-0000-1F00-00001E000000}"/>
            </a:ext>
          </a:extLst>
        </xdr:cNvPr>
        <xdr:cNvCxnSpPr/>
      </xdr:nvCxnSpPr>
      <xdr:spPr>
        <a:xfrm flipV="1">
          <a:off x="10576560" y="7711916"/>
          <a:ext cx="5555932" cy="318"/>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21167</xdr:colOff>
      <xdr:row>4</xdr:row>
      <xdr:rowOff>53235</xdr:rowOff>
    </xdr:from>
    <xdr:to>
      <xdr:col>6</xdr:col>
      <xdr:colOff>31750</xdr:colOff>
      <xdr:row>4</xdr:row>
      <xdr:rowOff>53236</xdr:rowOff>
    </xdr:to>
    <xdr:cxnSp macro="">
      <xdr:nvCxnSpPr>
        <xdr:cNvPr id="2" name="Straight Arrow Connector 1">
          <a:extLst>
            <a:ext uri="{FF2B5EF4-FFF2-40B4-BE49-F238E27FC236}">
              <a16:creationId xmlns:a16="http://schemas.microsoft.com/office/drawing/2014/main" id="{00000000-0008-0000-2100-000002000000}"/>
            </a:ext>
          </a:extLst>
        </xdr:cNvPr>
        <xdr:cNvCxnSpPr/>
      </xdr:nvCxnSpPr>
      <xdr:spPr>
        <a:xfrm flipV="1">
          <a:off x="6421967" y="236115"/>
          <a:ext cx="1290743" cy="1"/>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10</xdr:col>
      <xdr:colOff>21167</xdr:colOff>
      <xdr:row>4</xdr:row>
      <xdr:rowOff>53235</xdr:rowOff>
    </xdr:from>
    <xdr:to>
      <xdr:col>11</xdr:col>
      <xdr:colOff>31750</xdr:colOff>
      <xdr:row>4</xdr:row>
      <xdr:rowOff>53236</xdr:rowOff>
    </xdr:to>
    <xdr:cxnSp macro="">
      <xdr:nvCxnSpPr>
        <xdr:cNvPr id="3" name="Straight Arrow Connector 2">
          <a:extLst>
            <a:ext uri="{FF2B5EF4-FFF2-40B4-BE49-F238E27FC236}">
              <a16:creationId xmlns:a16="http://schemas.microsoft.com/office/drawing/2014/main" id="{00000000-0008-0000-2100-000003000000}"/>
            </a:ext>
          </a:extLst>
        </xdr:cNvPr>
        <xdr:cNvCxnSpPr/>
      </xdr:nvCxnSpPr>
      <xdr:spPr>
        <a:xfrm flipV="1">
          <a:off x="4466167" y="231035"/>
          <a:ext cx="1255183" cy="1"/>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5</xdr:col>
      <xdr:colOff>21167</xdr:colOff>
      <xdr:row>2</xdr:row>
      <xdr:rowOff>53235</xdr:rowOff>
    </xdr:from>
    <xdr:to>
      <xdr:col>6</xdr:col>
      <xdr:colOff>31750</xdr:colOff>
      <xdr:row>2</xdr:row>
      <xdr:rowOff>53236</xdr:rowOff>
    </xdr:to>
    <xdr:cxnSp macro="">
      <xdr:nvCxnSpPr>
        <xdr:cNvPr id="4" name="Straight Arrow Connector 3">
          <a:extLst>
            <a:ext uri="{FF2B5EF4-FFF2-40B4-BE49-F238E27FC236}">
              <a16:creationId xmlns:a16="http://schemas.microsoft.com/office/drawing/2014/main" id="{00000000-0008-0000-2100-000004000000}"/>
            </a:ext>
          </a:extLst>
        </xdr:cNvPr>
        <xdr:cNvCxnSpPr/>
      </xdr:nvCxnSpPr>
      <xdr:spPr>
        <a:xfrm flipV="1">
          <a:off x="4462538" y="847892"/>
          <a:ext cx="1251555" cy="1"/>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10</xdr:col>
      <xdr:colOff>21167</xdr:colOff>
      <xdr:row>2</xdr:row>
      <xdr:rowOff>53235</xdr:rowOff>
    </xdr:from>
    <xdr:to>
      <xdr:col>11</xdr:col>
      <xdr:colOff>31750</xdr:colOff>
      <xdr:row>2</xdr:row>
      <xdr:rowOff>53236</xdr:rowOff>
    </xdr:to>
    <xdr:cxnSp macro="">
      <xdr:nvCxnSpPr>
        <xdr:cNvPr id="5" name="Straight Arrow Connector 4">
          <a:extLst>
            <a:ext uri="{FF2B5EF4-FFF2-40B4-BE49-F238E27FC236}">
              <a16:creationId xmlns:a16="http://schemas.microsoft.com/office/drawing/2014/main" id="{00000000-0008-0000-2100-000005000000}"/>
            </a:ext>
          </a:extLst>
        </xdr:cNvPr>
        <xdr:cNvCxnSpPr/>
      </xdr:nvCxnSpPr>
      <xdr:spPr>
        <a:xfrm flipV="1">
          <a:off x="10667396" y="847892"/>
          <a:ext cx="1251554" cy="1"/>
        </a:xfrm>
        <a:prstGeom prst="straightConnector1">
          <a:avLst/>
        </a:prstGeom>
        <a:ln>
          <a:headEnd type="arrow"/>
          <a:tailEnd type="arrow"/>
        </a:ln>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30480</xdr:colOff>
          <xdr:row>45</xdr:row>
          <xdr:rowOff>38100</xdr:rowOff>
        </xdr:from>
        <xdr:to>
          <xdr:col>5</xdr:col>
          <xdr:colOff>762000</xdr:colOff>
          <xdr:row>46</xdr:row>
          <xdr:rowOff>160020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2700-0000017003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Update Table Rows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xdr:colOff>
          <xdr:row>7</xdr:row>
          <xdr:rowOff>22860</xdr:rowOff>
        </xdr:from>
        <xdr:to>
          <xdr:col>6</xdr:col>
          <xdr:colOff>693420</xdr:colOff>
          <xdr:row>9</xdr:row>
          <xdr:rowOff>99060</xdr:rowOff>
        </xdr:to>
        <xdr:sp macro="" textlink="">
          <xdr:nvSpPr>
            <xdr:cNvPr id="442369" name="Button 1" hidden="1">
              <a:extLst>
                <a:ext uri="{63B3BB69-23CF-44E3-9099-C40C66FF867C}">
                  <a14:compatExt spid="_x0000_s442369"/>
                </a:ext>
                <a:ext uri="{FF2B5EF4-FFF2-40B4-BE49-F238E27FC236}">
                  <a16:creationId xmlns:a16="http://schemas.microsoft.com/office/drawing/2014/main" id="{00000000-0008-0000-2C00-000001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xdr:row>
          <xdr:rowOff>22860</xdr:rowOff>
        </xdr:from>
        <xdr:to>
          <xdr:col>11</xdr:col>
          <xdr:colOff>693420</xdr:colOff>
          <xdr:row>9</xdr:row>
          <xdr:rowOff>99060</xdr:rowOff>
        </xdr:to>
        <xdr:sp macro="" textlink="">
          <xdr:nvSpPr>
            <xdr:cNvPr id="442370" name="Button 2" hidden="1">
              <a:extLst>
                <a:ext uri="{63B3BB69-23CF-44E3-9099-C40C66FF867C}">
                  <a14:compatExt spid="_x0000_s442370"/>
                </a:ext>
                <a:ext uri="{FF2B5EF4-FFF2-40B4-BE49-F238E27FC236}">
                  <a16:creationId xmlns:a16="http://schemas.microsoft.com/office/drawing/2014/main" id="{00000000-0008-0000-2C00-000002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xdr:row>
          <xdr:rowOff>22860</xdr:rowOff>
        </xdr:from>
        <xdr:to>
          <xdr:col>6</xdr:col>
          <xdr:colOff>693420</xdr:colOff>
          <xdr:row>9</xdr:row>
          <xdr:rowOff>99060</xdr:rowOff>
        </xdr:to>
        <xdr:sp macro="" textlink="">
          <xdr:nvSpPr>
            <xdr:cNvPr id="442371" name="Button 3" hidden="1">
              <a:extLst>
                <a:ext uri="{63B3BB69-23CF-44E3-9099-C40C66FF867C}">
                  <a14:compatExt spid="_x0000_s442371"/>
                </a:ext>
                <a:ext uri="{FF2B5EF4-FFF2-40B4-BE49-F238E27FC236}">
                  <a16:creationId xmlns:a16="http://schemas.microsoft.com/office/drawing/2014/main" id="{00000000-0008-0000-2C00-000003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xdr:row>
          <xdr:rowOff>22860</xdr:rowOff>
        </xdr:from>
        <xdr:to>
          <xdr:col>11</xdr:col>
          <xdr:colOff>693420</xdr:colOff>
          <xdr:row>9</xdr:row>
          <xdr:rowOff>99060</xdr:rowOff>
        </xdr:to>
        <xdr:sp macro="" textlink="">
          <xdr:nvSpPr>
            <xdr:cNvPr id="442372" name="Button 4" hidden="1">
              <a:extLst>
                <a:ext uri="{63B3BB69-23CF-44E3-9099-C40C66FF867C}">
                  <a14:compatExt spid="_x0000_s442372"/>
                </a:ext>
                <a:ext uri="{FF2B5EF4-FFF2-40B4-BE49-F238E27FC236}">
                  <a16:creationId xmlns:a16="http://schemas.microsoft.com/office/drawing/2014/main" id="{00000000-0008-0000-2C00-000004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77</xdr:row>
          <xdr:rowOff>22860</xdr:rowOff>
        </xdr:from>
        <xdr:to>
          <xdr:col>6</xdr:col>
          <xdr:colOff>693420</xdr:colOff>
          <xdr:row>79</xdr:row>
          <xdr:rowOff>99060</xdr:rowOff>
        </xdr:to>
        <xdr:sp macro="" textlink="">
          <xdr:nvSpPr>
            <xdr:cNvPr id="442373" name="Button 5" hidden="1">
              <a:extLst>
                <a:ext uri="{63B3BB69-23CF-44E3-9099-C40C66FF867C}">
                  <a14:compatExt spid="_x0000_s442373"/>
                </a:ext>
                <a:ext uri="{FF2B5EF4-FFF2-40B4-BE49-F238E27FC236}">
                  <a16:creationId xmlns:a16="http://schemas.microsoft.com/office/drawing/2014/main" id="{00000000-0008-0000-2C00-000005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77</xdr:row>
          <xdr:rowOff>22860</xdr:rowOff>
        </xdr:from>
        <xdr:to>
          <xdr:col>11</xdr:col>
          <xdr:colOff>693420</xdr:colOff>
          <xdr:row>79</xdr:row>
          <xdr:rowOff>99060</xdr:rowOff>
        </xdr:to>
        <xdr:sp macro="" textlink="">
          <xdr:nvSpPr>
            <xdr:cNvPr id="442374" name="Button 6" hidden="1">
              <a:extLst>
                <a:ext uri="{63B3BB69-23CF-44E3-9099-C40C66FF867C}">
                  <a14:compatExt spid="_x0000_s442374"/>
                </a:ext>
                <a:ext uri="{FF2B5EF4-FFF2-40B4-BE49-F238E27FC236}">
                  <a16:creationId xmlns:a16="http://schemas.microsoft.com/office/drawing/2014/main" id="{00000000-0008-0000-2C00-000006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77</xdr:row>
          <xdr:rowOff>22860</xdr:rowOff>
        </xdr:from>
        <xdr:to>
          <xdr:col>6</xdr:col>
          <xdr:colOff>693420</xdr:colOff>
          <xdr:row>79</xdr:row>
          <xdr:rowOff>99060</xdr:rowOff>
        </xdr:to>
        <xdr:sp macro="" textlink="">
          <xdr:nvSpPr>
            <xdr:cNvPr id="442375" name="Button 7" hidden="1">
              <a:extLst>
                <a:ext uri="{63B3BB69-23CF-44E3-9099-C40C66FF867C}">
                  <a14:compatExt spid="_x0000_s442375"/>
                </a:ext>
                <a:ext uri="{FF2B5EF4-FFF2-40B4-BE49-F238E27FC236}">
                  <a16:creationId xmlns:a16="http://schemas.microsoft.com/office/drawing/2014/main" id="{00000000-0008-0000-2C00-000007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77</xdr:row>
          <xdr:rowOff>22860</xdr:rowOff>
        </xdr:from>
        <xdr:to>
          <xdr:col>11</xdr:col>
          <xdr:colOff>693420</xdr:colOff>
          <xdr:row>79</xdr:row>
          <xdr:rowOff>99060</xdr:rowOff>
        </xdr:to>
        <xdr:sp macro="" textlink="">
          <xdr:nvSpPr>
            <xdr:cNvPr id="442376" name="Button 8" hidden="1">
              <a:extLst>
                <a:ext uri="{63B3BB69-23CF-44E3-9099-C40C66FF867C}">
                  <a14:compatExt spid="_x0000_s442376"/>
                </a:ext>
                <a:ext uri="{FF2B5EF4-FFF2-40B4-BE49-F238E27FC236}">
                  <a16:creationId xmlns:a16="http://schemas.microsoft.com/office/drawing/2014/main" id="{00000000-0008-0000-2C00-000008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77</xdr:row>
          <xdr:rowOff>22860</xdr:rowOff>
        </xdr:from>
        <xdr:to>
          <xdr:col>6</xdr:col>
          <xdr:colOff>693420</xdr:colOff>
          <xdr:row>79</xdr:row>
          <xdr:rowOff>99060</xdr:rowOff>
        </xdr:to>
        <xdr:sp macro="" textlink="">
          <xdr:nvSpPr>
            <xdr:cNvPr id="442377" name="Button 9" hidden="1">
              <a:extLst>
                <a:ext uri="{63B3BB69-23CF-44E3-9099-C40C66FF867C}">
                  <a14:compatExt spid="_x0000_s442377"/>
                </a:ext>
                <a:ext uri="{FF2B5EF4-FFF2-40B4-BE49-F238E27FC236}">
                  <a16:creationId xmlns:a16="http://schemas.microsoft.com/office/drawing/2014/main" id="{00000000-0008-0000-2C00-000009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77</xdr:row>
          <xdr:rowOff>22860</xdr:rowOff>
        </xdr:from>
        <xdr:to>
          <xdr:col>11</xdr:col>
          <xdr:colOff>693420</xdr:colOff>
          <xdr:row>79</xdr:row>
          <xdr:rowOff>99060</xdr:rowOff>
        </xdr:to>
        <xdr:sp macro="" textlink="">
          <xdr:nvSpPr>
            <xdr:cNvPr id="442378" name="Button 10" hidden="1">
              <a:extLst>
                <a:ext uri="{63B3BB69-23CF-44E3-9099-C40C66FF867C}">
                  <a14:compatExt spid="_x0000_s442378"/>
                </a:ext>
                <a:ext uri="{FF2B5EF4-FFF2-40B4-BE49-F238E27FC236}">
                  <a16:creationId xmlns:a16="http://schemas.microsoft.com/office/drawing/2014/main" id="{00000000-0008-0000-2C00-00000A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77</xdr:row>
          <xdr:rowOff>22860</xdr:rowOff>
        </xdr:from>
        <xdr:to>
          <xdr:col>6</xdr:col>
          <xdr:colOff>693420</xdr:colOff>
          <xdr:row>79</xdr:row>
          <xdr:rowOff>99060</xdr:rowOff>
        </xdr:to>
        <xdr:sp macro="" textlink="">
          <xdr:nvSpPr>
            <xdr:cNvPr id="442379" name="Button 11" hidden="1">
              <a:extLst>
                <a:ext uri="{63B3BB69-23CF-44E3-9099-C40C66FF867C}">
                  <a14:compatExt spid="_x0000_s442379"/>
                </a:ext>
                <a:ext uri="{FF2B5EF4-FFF2-40B4-BE49-F238E27FC236}">
                  <a16:creationId xmlns:a16="http://schemas.microsoft.com/office/drawing/2014/main" id="{00000000-0008-0000-2C00-00000B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77</xdr:row>
          <xdr:rowOff>22860</xdr:rowOff>
        </xdr:from>
        <xdr:to>
          <xdr:col>11</xdr:col>
          <xdr:colOff>693420</xdr:colOff>
          <xdr:row>79</xdr:row>
          <xdr:rowOff>99060</xdr:rowOff>
        </xdr:to>
        <xdr:sp macro="" textlink="">
          <xdr:nvSpPr>
            <xdr:cNvPr id="442380" name="Button 12" hidden="1">
              <a:extLst>
                <a:ext uri="{63B3BB69-23CF-44E3-9099-C40C66FF867C}">
                  <a14:compatExt spid="_x0000_s442380"/>
                </a:ext>
                <a:ext uri="{FF2B5EF4-FFF2-40B4-BE49-F238E27FC236}">
                  <a16:creationId xmlns:a16="http://schemas.microsoft.com/office/drawing/2014/main" id="{00000000-0008-0000-2C00-00000C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77</xdr:row>
          <xdr:rowOff>22860</xdr:rowOff>
        </xdr:from>
        <xdr:to>
          <xdr:col>6</xdr:col>
          <xdr:colOff>693420</xdr:colOff>
          <xdr:row>79</xdr:row>
          <xdr:rowOff>99060</xdr:rowOff>
        </xdr:to>
        <xdr:sp macro="" textlink="">
          <xdr:nvSpPr>
            <xdr:cNvPr id="442381" name="Button 13" hidden="1">
              <a:extLst>
                <a:ext uri="{63B3BB69-23CF-44E3-9099-C40C66FF867C}">
                  <a14:compatExt spid="_x0000_s442381"/>
                </a:ext>
                <a:ext uri="{FF2B5EF4-FFF2-40B4-BE49-F238E27FC236}">
                  <a16:creationId xmlns:a16="http://schemas.microsoft.com/office/drawing/2014/main" id="{00000000-0008-0000-2C00-00000D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77</xdr:row>
          <xdr:rowOff>22860</xdr:rowOff>
        </xdr:from>
        <xdr:to>
          <xdr:col>11</xdr:col>
          <xdr:colOff>693420</xdr:colOff>
          <xdr:row>79</xdr:row>
          <xdr:rowOff>99060</xdr:rowOff>
        </xdr:to>
        <xdr:sp macro="" textlink="">
          <xdr:nvSpPr>
            <xdr:cNvPr id="442382" name="Button 14" hidden="1">
              <a:extLst>
                <a:ext uri="{63B3BB69-23CF-44E3-9099-C40C66FF867C}">
                  <a14:compatExt spid="_x0000_s442382"/>
                </a:ext>
                <a:ext uri="{FF2B5EF4-FFF2-40B4-BE49-F238E27FC236}">
                  <a16:creationId xmlns:a16="http://schemas.microsoft.com/office/drawing/2014/main" id="{00000000-0008-0000-2C00-00000E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146</xdr:row>
          <xdr:rowOff>22860</xdr:rowOff>
        </xdr:from>
        <xdr:to>
          <xdr:col>6</xdr:col>
          <xdr:colOff>693420</xdr:colOff>
          <xdr:row>148</xdr:row>
          <xdr:rowOff>99060</xdr:rowOff>
        </xdr:to>
        <xdr:sp macro="" textlink="">
          <xdr:nvSpPr>
            <xdr:cNvPr id="442383" name="Button 15" hidden="1">
              <a:extLst>
                <a:ext uri="{63B3BB69-23CF-44E3-9099-C40C66FF867C}">
                  <a14:compatExt spid="_x0000_s442383"/>
                </a:ext>
                <a:ext uri="{FF2B5EF4-FFF2-40B4-BE49-F238E27FC236}">
                  <a16:creationId xmlns:a16="http://schemas.microsoft.com/office/drawing/2014/main" id="{00000000-0008-0000-2C00-00000F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146</xdr:row>
          <xdr:rowOff>22860</xdr:rowOff>
        </xdr:from>
        <xdr:to>
          <xdr:col>11</xdr:col>
          <xdr:colOff>693420</xdr:colOff>
          <xdr:row>148</xdr:row>
          <xdr:rowOff>99060</xdr:rowOff>
        </xdr:to>
        <xdr:sp macro="" textlink="">
          <xdr:nvSpPr>
            <xdr:cNvPr id="442384" name="Button 16" hidden="1">
              <a:extLst>
                <a:ext uri="{63B3BB69-23CF-44E3-9099-C40C66FF867C}">
                  <a14:compatExt spid="_x0000_s442384"/>
                </a:ext>
                <a:ext uri="{FF2B5EF4-FFF2-40B4-BE49-F238E27FC236}">
                  <a16:creationId xmlns:a16="http://schemas.microsoft.com/office/drawing/2014/main" id="{00000000-0008-0000-2C00-000010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146</xdr:row>
          <xdr:rowOff>22860</xdr:rowOff>
        </xdr:from>
        <xdr:to>
          <xdr:col>6</xdr:col>
          <xdr:colOff>693420</xdr:colOff>
          <xdr:row>148</xdr:row>
          <xdr:rowOff>99060</xdr:rowOff>
        </xdr:to>
        <xdr:sp macro="" textlink="">
          <xdr:nvSpPr>
            <xdr:cNvPr id="442385" name="Button 17" hidden="1">
              <a:extLst>
                <a:ext uri="{63B3BB69-23CF-44E3-9099-C40C66FF867C}">
                  <a14:compatExt spid="_x0000_s442385"/>
                </a:ext>
                <a:ext uri="{FF2B5EF4-FFF2-40B4-BE49-F238E27FC236}">
                  <a16:creationId xmlns:a16="http://schemas.microsoft.com/office/drawing/2014/main" id="{00000000-0008-0000-2C00-000011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146</xdr:row>
          <xdr:rowOff>22860</xdr:rowOff>
        </xdr:from>
        <xdr:to>
          <xdr:col>11</xdr:col>
          <xdr:colOff>693420</xdr:colOff>
          <xdr:row>148</xdr:row>
          <xdr:rowOff>99060</xdr:rowOff>
        </xdr:to>
        <xdr:sp macro="" textlink="">
          <xdr:nvSpPr>
            <xdr:cNvPr id="442386" name="Button 18" hidden="1">
              <a:extLst>
                <a:ext uri="{63B3BB69-23CF-44E3-9099-C40C66FF867C}">
                  <a14:compatExt spid="_x0000_s442386"/>
                </a:ext>
                <a:ext uri="{FF2B5EF4-FFF2-40B4-BE49-F238E27FC236}">
                  <a16:creationId xmlns:a16="http://schemas.microsoft.com/office/drawing/2014/main" id="{00000000-0008-0000-2C00-000012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146</xdr:row>
          <xdr:rowOff>22860</xdr:rowOff>
        </xdr:from>
        <xdr:to>
          <xdr:col>6</xdr:col>
          <xdr:colOff>693420</xdr:colOff>
          <xdr:row>148</xdr:row>
          <xdr:rowOff>99060</xdr:rowOff>
        </xdr:to>
        <xdr:sp macro="" textlink="">
          <xdr:nvSpPr>
            <xdr:cNvPr id="442387" name="Button 19" hidden="1">
              <a:extLst>
                <a:ext uri="{63B3BB69-23CF-44E3-9099-C40C66FF867C}">
                  <a14:compatExt spid="_x0000_s442387"/>
                </a:ext>
                <a:ext uri="{FF2B5EF4-FFF2-40B4-BE49-F238E27FC236}">
                  <a16:creationId xmlns:a16="http://schemas.microsoft.com/office/drawing/2014/main" id="{00000000-0008-0000-2C00-000013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146</xdr:row>
          <xdr:rowOff>22860</xdr:rowOff>
        </xdr:from>
        <xdr:to>
          <xdr:col>11</xdr:col>
          <xdr:colOff>693420</xdr:colOff>
          <xdr:row>148</xdr:row>
          <xdr:rowOff>99060</xdr:rowOff>
        </xdr:to>
        <xdr:sp macro="" textlink="">
          <xdr:nvSpPr>
            <xdr:cNvPr id="442388" name="Button 20" hidden="1">
              <a:extLst>
                <a:ext uri="{63B3BB69-23CF-44E3-9099-C40C66FF867C}">
                  <a14:compatExt spid="_x0000_s442388"/>
                </a:ext>
                <a:ext uri="{FF2B5EF4-FFF2-40B4-BE49-F238E27FC236}">
                  <a16:creationId xmlns:a16="http://schemas.microsoft.com/office/drawing/2014/main" id="{00000000-0008-0000-2C00-000014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146</xdr:row>
          <xdr:rowOff>22860</xdr:rowOff>
        </xdr:from>
        <xdr:to>
          <xdr:col>6</xdr:col>
          <xdr:colOff>693420</xdr:colOff>
          <xdr:row>148</xdr:row>
          <xdr:rowOff>99060</xdr:rowOff>
        </xdr:to>
        <xdr:sp macro="" textlink="">
          <xdr:nvSpPr>
            <xdr:cNvPr id="442389" name="Button 21" hidden="1">
              <a:extLst>
                <a:ext uri="{63B3BB69-23CF-44E3-9099-C40C66FF867C}">
                  <a14:compatExt spid="_x0000_s442389"/>
                </a:ext>
                <a:ext uri="{FF2B5EF4-FFF2-40B4-BE49-F238E27FC236}">
                  <a16:creationId xmlns:a16="http://schemas.microsoft.com/office/drawing/2014/main" id="{00000000-0008-0000-2C00-000015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146</xdr:row>
          <xdr:rowOff>22860</xdr:rowOff>
        </xdr:from>
        <xdr:to>
          <xdr:col>11</xdr:col>
          <xdr:colOff>693420</xdr:colOff>
          <xdr:row>148</xdr:row>
          <xdr:rowOff>99060</xdr:rowOff>
        </xdr:to>
        <xdr:sp macro="" textlink="">
          <xdr:nvSpPr>
            <xdr:cNvPr id="442390" name="Button 22" hidden="1">
              <a:extLst>
                <a:ext uri="{63B3BB69-23CF-44E3-9099-C40C66FF867C}">
                  <a14:compatExt spid="_x0000_s442390"/>
                </a:ext>
                <a:ext uri="{FF2B5EF4-FFF2-40B4-BE49-F238E27FC236}">
                  <a16:creationId xmlns:a16="http://schemas.microsoft.com/office/drawing/2014/main" id="{00000000-0008-0000-2C00-000016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146</xdr:row>
          <xdr:rowOff>22860</xdr:rowOff>
        </xdr:from>
        <xdr:to>
          <xdr:col>6</xdr:col>
          <xdr:colOff>693420</xdr:colOff>
          <xdr:row>148</xdr:row>
          <xdr:rowOff>99060</xdr:rowOff>
        </xdr:to>
        <xdr:sp macro="" textlink="">
          <xdr:nvSpPr>
            <xdr:cNvPr id="442391" name="Button 23" hidden="1">
              <a:extLst>
                <a:ext uri="{63B3BB69-23CF-44E3-9099-C40C66FF867C}">
                  <a14:compatExt spid="_x0000_s442391"/>
                </a:ext>
                <a:ext uri="{FF2B5EF4-FFF2-40B4-BE49-F238E27FC236}">
                  <a16:creationId xmlns:a16="http://schemas.microsoft.com/office/drawing/2014/main" id="{00000000-0008-0000-2C00-000017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146</xdr:row>
          <xdr:rowOff>22860</xdr:rowOff>
        </xdr:from>
        <xdr:to>
          <xdr:col>11</xdr:col>
          <xdr:colOff>693420</xdr:colOff>
          <xdr:row>148</xdr:row>
          <xdr:rowOff>99060</xdr:rowOff>
        </xdr:to>
        <xdr:sp macro="" textlink="">
          <xdr:nvSpPr>
            <xdr:cNvPr id="442392" name="Button 24" hidden="1">
              <a:extLst>
                <a:ext uri="{63B3BB69-23CF-44E3-9099-C40C66FF867C}">
                  <a14:compatExt spid="_x0000_s442392"/>
                </a:ext>
                <a:ext uri="{FF2B5EF4-FFF2-40B4-BE49-F238E27FC236}">
                  <a16:creationId xmlns:a16="http://schemas.microsoft.com/office/drawing/2014/main" id="{00000000-0008-0000-2C00-000018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216</xdr:row>
          <xdr:rowOff>22860</xdr:rowOff>
        </xdr:from>
        <xdr:to>
          <xdr:col>6</xdr:col>
          <xdr:colOff>693420</xdr:colOff>
          <xdr:row>218</xdr:row>
          <xdr:rowOff>99060</xdr:rowOff>
        </xdr:to>
        <xdr:sp macro="" textlink="">
          <xdr:nvSpPr>
            <xdr:cNvPr id="442393" name="Button 25" hidden="1">
              <a:extLst>
                <a:ext uri="{63B3BB69-23CF-44E3-9099-C40C66FF867C}">
                  <a14:compatExt spid="_x0000_s442393"/>
                </a:ext>
                <a:ext uri="{FF2B5EF4-FFF2-40B4-BE49-F238E27FC236}">
                  <a16:creationId xmlns:a16="http://schemas.microsoft.com/office/drawing/2014/main" id="{00000000-0008-0000-2C00-000019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216</xdr:row>
          <xdr:rowOff>22860</xdr:rowOff>
        </xdr:from>
        <xdr:to>
          <xdr:col>11</xdr:col>
          <xdr:colOff>693420</xdr:colOff>
          <xdr:row>218</xdr:row>
          <xdr:rowOff>99060</xdr:rowOff>
        </xdr:to>
        <xdr:sp macro="" textlink="">
          <xdr:nvSpPr>
            <xdr:cNvPr id="442394" name="Button 26" hidden="1">
              <a:extLst>
                <a:ext uri="{63B3BB69-23CF-44E3-9099-C40C66FF867C}">
                  <a14:compatExt spid="_x0000_s442394"/>
                </a:ext>
                <a:ext uri="{FF2B5EF4-FFF2-40B4-BE49-F238E27FC236}">
                  <a16:creationId xmlns:a16="http://schemas.microsoft.com/office/drawing/2014/main" id="{00000000-0008-0000-2C00-00001A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286</xdr:row>
          <xdr:rowOff>22860</xdr:rowOff>
        </xdr:from>
        <xdr:to>
          <xdr:col>6</xdr:col>
          <xdr:colOff>693420</xdr:colOff>
          <xdr:row>288</xdr:row>
          <xdr:rowOff>99060</xdr:rowOff>
        </xdr:to>
        <xdr:sp macro="" textlink="">
          <xdr:nvSpPr>
            <xdr:cNvPr id="442395" name="Button 27" hidden="1">
              <a:extLst>
                <a:ext uri="{63B3BB69-23CF-44E3-9099-C40C66FF867C}">
                  <a14:compatExt spid="_x0000_s442395"/>
                </a:ext>
                <a:ext uri="{FF2B5EF4-FFF2-40B4-BE49-F238E27FC236}">
                  <a16:creationId xmlns:a16="http://schemas.microsoft.com/office/drawing/2014/main" id="{00000000-0008-0000-2C00-00001B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286</xdr:row>
          <xdr:rowOff>22860</xdr:rowOff>
        </xdr:from>
        <xdr:to>
          <xdr:col>11</xdr:col>
          <xdr:colOff>693420</xdr:colOff>
          <xdr:row>288</xdr:row>
          <xdr:rowOff>99060</xdr:rowOff>
        </xdr:to>
        <xdr:sp macro="" textlink="">
          <xdr:nvSpPr>
            <xdr:cNvPr id="442396" name="Button 28" hidden="1">
              <a:extLst>
                <a:ext uri="{63B3BB69-23CF-44E3-9099-C40C66FF867C}">
                  <a14:compatExt spid="_x0000_s442396"/>
                </a:ext>
                <a:ext uri="{FF2B5EF4-FFF2-40B4-BE49-F238E27FC236}">
                  <a16:creationId xmlns:a16="http://schemas.microsoft.com/office/drawing/2014/main" id="{00000000-0008-0000-2C00-00001CC006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Apply</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11</xdr:col>
      <xdr:colOff>7620</xdr:colOff>
      <xdr:row>131</xdr:row>
      <xdr:rowOff>95250</xdr:rowOff>
    </xdr:from>
    <xdr:to>
      <xdr:col>17</xdr:col>
      <xdr:colOff>144780</xdr:colOff>
      <xdr:row>144</xdr:row>
      <xdr:rowOff>106680</xdr:rowOff>
    </xdr:to>
    <xdr:graphicFrame macro="">
      <xdr:nvGraphicFramePr>
        <xdr:cNvPr id="2" name="Chart 1">
          <a:extLst>
            <a:ext uri="{FF2B5EF4-FFF2-40B4-BE49-F238E27FC236}">
              <a16:creationId xmlns:a16="http://schemas.microsoft.com/office/drawing/2014/main" id="{00000000-0008-0000-3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146</xdr:row>
      <xdr:rowOff>0</xdr:rowOff>
    </xdr:from>
    <xdr:to>
      <xdr:col>17</xdr:col>
      <xdr:colOff>137160</xdr:colOff>
      <xdr:row>155</xdr:row>
      <xdr:rowOff>152400</xdr:rowOff>
    </xdr:to>
    <xdr:graphicFrame macro="">
      <xdr:nvGraphicFramePr>
        <xdr:cNvPr id="4" name="Chart 3">
          <a:extLst>
            <a:ext uri="{FF2B5EF4-FFF2-40B4-BE49-F238E27FC236}">
              <a16:creationId xmlns:a16="http://schemas.microsoft.com/office/drawing/2014/main" id="{00000000-0008-0000-3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5</xdr:col>
      <xdr:colOff>266700</xdr:colOff>
      <xdr:row>88</xdr:row>
      <xdr:rowOff>0</xdr:rowOff>
    </xdr:from>
    <xdr:to>
      <xdr:col>10</xdr:col>
      <xdr:colOff>487680</xdr:colOff>
      <xdr:row>103</xdr:row>
      <xdr:rowOff>114300</xdr:rowOff>
    </xdr:to>
    <xdr:graphicFrame macro="">
      <xdr:nvGraphicFramePr>
        <xdr:cNvPr id="2" name="Chart 1">
          <a:extLst>
            <a:ext uri="{FF2B5EF4-FFF2-40B4-BE49-F238E27FC236}">
              <a16:creationId xmlns:a16="http://schemas.microsoft.com/office/drawing/2014/main" id="{00000000-0008-0000-3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ACH">
  <a:themeElements>
    <a:clrScheme name="M@M_AD2">
      <a:dk1>
        <a:srgbClr val="000000"/>
      </a:dk1>
      <a:lt1>
        <a:srgbClr val="FFFFFF"/>
      </a:lt1>
      <a:dk2>
        <a:srgbClr val="323232"/>
      </a:dk2>
      <a:lt2>
        <a:srgbClr val="008272"/>
      </a:lt2>
      <a:accent1>
        <a:srgbClr val="0078D7"/>
      </a:accent1>
      <a:accent2>
        <a:srgbClr val="5C2D91"/>
      </a:accent2>
      <a:accent3>
        <a:srgbClr val="32145A"/>
      </a:accent3>
      <a:accent4>
        <a:srgbClr val="002050"/>
      </a:accent4>
      <a:accent5>
        <a:srgbClr val="004B50"/>
      </a:accent5>
      <a:accent6>
        <a:srgbClr val="737373"/>
      </a:accent6>
      <a:hlink>
        <a:srgbClr val="646464"/>
      </a:hlink>
      <a:folHlink>
        <a:srgbClr val="323232"/>
      </a:folHlink>
    </a:clrScheme>
    <a:fontScheme name="M@M_AD">
      <a:majorFont>
        <a:latin typeface="Segoe UI Light"/>
        <a:ea typeface=""/>
        <a:cs typeface=""/>
      </a:majorFont>
      <a:minorFont>
        <a:latin typeface="Segoe UI Semi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a:noFill/>
          <a:headEnd type="none" w="med" len="med"/>
          <a:tailEnd type="none" w="med" len="med"/>
        </a:ln>
      </a:spPr>
      <a:bodyPr rot="0" spcFirstLastPara="0" vertOverflow="clip" horzOverflow="clip" vert="horz" wrap="square" lIns="182880" tIns="146304" rIns="182880" bIns="146304" numCol="1" spcCol="0" rtlCol="0" fromWordArt="0" anchor="ctr" anchorCtr="0" forceAA="0" compatLnSpc="1">
        <a:prstTxWarp prst="textNoShape">
          <a:avLst/>
        </a:prstTxWarp>
        <a:noAutofit/>
      </a:bodyPr>
      <a:lstStyle>
        <a:defPPr algn="l" defTabSz="932472" fontAlgn="base">
          <a:lnSpc>
            <a:spcPct val="90000"/>
          </a:lnSpc>
          <a:spcBef>
            <a:spcPct val="0"/>
          </a:spcBef>
          <a:spcAft>
            <a:spcPct val="0"/>
          </a:spcAft>
          <a:defRPr sz="1800" dirty="0" err="1">
            <a:solidFill>
              <a:schemeClr val="bg2"/>
            </a:solidFill>
            <a:ea typeface="Segoe UI" pitchFamily="34" charset="0"/>
            <a:cs typeface="Segoe UI" pitchFamily="34" charset="0"/>
          </a:defRPr>
        </a:defPPr>
      </a:lstStyle>
      <a:style>
        <a:lnRef idx="2">
          <a:schemeClr val="accent4">
            <a:shade val="50000"/>
          </a:schemeClr>
        </a:lnRef>
        <a:fillRef idx="1">
          <a:schemeClr val="accent4"/>
        </a:fillRef>
        <a:effectRef idx="0">
          <a:schemeClr val="accent4"/>
        </a:effectRef>
        <a:fontRef idx="minor">
          <a:schemeClr val="lt1"/>
        </a:fontRef>
      </a:style>
    </a:spDef>
  </a:objectDefaults>
  <a:extraClrSchemeLst/>
  <a:extLst>
    <a:ext uri="{05A4C25C-085E-4340-85A3-A5531E510DB2}">
      <thm15:themeFamily xmlns:thm15="http://schemas.microsoft.com/office/thememl/2012/main" name="MACH" id="{8E020270-ADB9-4E8E-B834-ACF500A9B38D}" vid="{04770156-DE59-4B8D-B848-7F4A93D5FC6A}"/>
    </a:ext>
  </a:extLst>
</a:theme>
</file>

<file path=xl/theme/themeOverride1.xml><?xml version="1.0" encoding="utf-8"?>
<a:themeOverride xmlns:a="http://schemas.openxmlformats.org/drawingml/2006/main">
  <a:clrScheme name="M@M_AD2">
    <a:dk1>
      <a:srgbClr val="000000"/>
    </a:dk1>
    <a:lt1>
      <a:srgbClr val="FFFFFF"/>
    </a:lt1>
    <a:dk2>
      <a:srgbClr val="323232"/>
    </a:dk2>
    <a:lt2>
      <a:srgbClr val="008272"/>
    </a:lt2>
    <a:accent1>
      <a:srgbClr val="0078D7"/>
    </a:accent1>
    <a:accent2>
      <a:srgbClr val="5C2D91"/>
    </a:accent2>
    <a:accent3>
      <a:srgbClr val="32145A"/>
    </a:accent3>
    <a:accent4>
      <a:srgbClr val="002050"/>
    </a:accent4>
    <a:accent5>
      <a:srgbClr val="004B50"/>
    </a:accent5>
    <a:accent6>
      <a:srgbClr val="737373"/>
    </a:accent6>
    <a:hlink>
      <a:srgbClr val="646464"/>
    </a:hlink>
    <a:folHlink>
      <a:srgbClr val="323232"/>
    </a:folHlink>
  </a:clrScheme>
  <a:fontScheme name="M@M_AD">
    <a:majorFont>
      <a:latin typeface="Segoe UI Light"/>
      <a:ea typeface=""/>
      <a:cs typeface=""/>
    </a:majorFont>
    <a:minorFont>
      <a:latin typeface="Segoe UI Semi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M@M_AD2">
    <a:dk1>
      <a:srgbClr val="000000"/>
    </a:dk1>
    <a:lt1>
      <a:srgbClr val="FFFFFF"/>
    </a:lt1>
    <a:dk2>
      <a:srgbClr val="323232"/>
    </a:dk2>
    <a:lt2>
      <a:srgbClr val="008272"/>
    </a:lt2>
    <a:accent1>
      <a:srgbClr val="0078D7"/>
    </a:accent1>
    <a:accent2>
      <a:srgbClr val="5C2D91"/>
    </a:accent2>
    <a:accent3>
      <a:srgbClr val="32145A"/>
    </a:accent3>
    <a:accent4>
      <a:srgbClr val="002050"/>
    </a:accent4>
    <a:accent5>
      <a:srgbClr val="004B50"/>
    </a:accent5>
    <a:accent6>
      <a:srgbClr val="737373"/>
    </a:accent6>
    <a:hlink>
      <a:srgbClr val="646464"/>
    </a:hlink>
    <a:folHlink>
      <a:srgbClr val="323232"/>
    </a:folHlink>
  </a:clrScheme>
  <a:fontScheme name="M@M_AD">
    <a:majorFont>
      <a:latin typeface="Segoe UI Light"/>
      <a:ea typeface=""/>
      <a:cs typeface=""/>
    </a:majorFont>
    <a:minorFont>
      <a:latin typeface="Segoe UI Semi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ModuleFactory@bts.com"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oduleFactory@bts.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oduleFactory@bts.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Adam.Aranyos@bts.com"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mailto:ModuleFactory@bts.com"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oduleFactory@bts.com"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oduleFactory@bts.com"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mailto:ModuleFactory@bts.com"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1.bin"/><Relationship Id="rId1" Type="http://schemas.openxmlformats.org/officeDocument/2006/relationships/hyperlink" Target="mailto:ModuleFactory@bts.com" TargetMode="Externa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mailto:ModuleFactory@bts.com"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mailto:ModuleFactory@bts.co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hyperlink" Target="mailto:Adam.Aranyos@bts.com" TargetMode="External"/><Relationship Id="rId1" Type="http://schemas.openxmlformats.org/officeDocument/2006/relationships/hyperlink" Target="mailto:Adam.Aranyos@bts.com" TargetMode="External"/><Relationship Id="rId4"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mailto:ModuleFactory@bts.com" TargetMode="External"/></Relationships>
</file>

<file path=xl/worksheets/_rels/sheet3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hyperlink" Target="mailto:ModuleFactory@bts.com" TargetMode="External"/></Relationships>
</file>

<file path=xl/worksheets/_rels/sheet3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hyperlink" Target="mailto:ModuleFactory@bts.com" TargetMode="Externa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mailto:ModuleFactory@bts.com"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0.bin"/><Relationship Id="rId1" Type="http://schemas.openxmlformats.org/officeDocument/2006/relationships/hyperlink" Target="mailto:ModuleFactory@bts.com" TargetMode="Externa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hyperlink" Target="mailto:ModuleFactory@bts.com" TargetMode="Externa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ctrlProp" Target="../ctrlProps/ctrlProp3.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vmlDrawing" Target="../drawings/vmlDrawing7.v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drawing" Target="../drawings/drawing17.xm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5.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theme="8" tint="0.499984740745262"/>
  </sheetPr>
  <dimension ref="A1:U147"/>
  <sheetViews>
    <sheetView workbookViewId="0"/>
  </sheetViews>
  <sheetFormatPr defaultColWidth="8.7265625" defaultRowHeight="13.8"/>
  <cols>
    <col min="1" max="1" width="8" style="272" customWidth="1"/>
    <col min="2" max="9" width="8.7265625" style="272"/>
    <col min="10" max="14" width="8.7265625" style="272" customWidth="1"/>
    <col min="15" max="15" width="12.453125" style="272" customWidth="1"/>
    <col min="16" max="16384" width="8.7265625" style="272"/>
  </cols>
  <sheetData>
    <row r="1" spans="1:21" s="1056" customFormat="1" ht="19.2">
      <c r="A1" s="1056" t="s">
        <v>2993</v>
      </c>
      <c r="E1" s="1013" t="s">
        <v>7</v>
      </c>
      <c r="F1" s="1013" t="s">
        <v>8</v>
      </c>
      <c r="G1" s="1013" t="s">
        <v>9</v>
      </c>
      <c r="H1" s="1013" t="s">
        <v>10</v>
      </c>
      <c r="I1" s="1013" t="s">
        <v>11</v>
      </c>
      <c r="J1" s="1013" t="s">
        <v>744</v>
      </c>
      <c r="K1" s="1013" t="s">
        <v>745</v>
      </c>
      <c r="L1" s="1013" t="s">
        <v>746</v>
      </c>
      <c r="M1" s="1013" t="s">
        <v>747</v>
      </c>
      <c r="N1" s="1013" t="s">
        <v>748</v>
      </c>
      <c r="P1" s="1057"/>
      <c r="Q1" s="1057"/>
      <c r="R1" s="1057"/>
      <c r="S1" s="1057"/>
    </row>
    <row r="2" spans="1:21" s="1056" customFormat="1" ht="19.2">
      <c r="A2" s="1058" t="s">
        <v>2630</v>
      </c>
      <c r="E2" s="1013" t="b">
        <f>xxNumOfTeams&gt;0</f>
        <v>1</v>
      </c>
      <c r="F2" s="1013" t="b">
        <f>xxNumOfTeams&gt;1</f>
        <v>1</v>
      </c>
      <c r="G2" s="1013" t="b">
        <f>xxNumOfTeams&gt;2</f>
        <v>1</v>
      </c>
      <c r="H2" s="1013" t="b">
        <f>xxNumOfTeams&gt;3</f>
        <v>1</v>
      </c>
      <c r="I2" s="1013" t="b">
        <f>xxNumOfTeams&gt;4</f>
        <v>1</v>
      </c>
      <c r="J2" s="1013" t="b">
        <f>xxNumOfTeams&gt;5</f>
        <v>1</v>
      </c>
      <c r="K2" s="1013" t="b">
        <f>xxNumOfTeams&gt;6</f>
        <v>1</v>
      </c>
      <c r="L2" s="1013" t="b">
        <f>xxNumOfTeams&gt;7</f>
        <v>1</v>
      </c>
      <c r="M2" s="1013" t="b">
        <f>xxNumOfTeams&gt;8</f>
        <v>1</v>
      </c>
      <c r="N2" s="1013" t="b">
        <f>xxNumOfTeams&gt;9</f>
        <v>1</v>
      </c>
      <c r="O2" s="1056" t="s">
        <v>2994</v>
      </c>
      <c r="P2" s="1057"/>
      <c r="Q2" s="1057"/>
      <c r="R2" s="1057"/>
      <c r="S2" s="1057"/>
    </row>
    <row r="3" spans="1:21" s="867" customFormat="1">
      <c r="A3" s="867" t="s">
        <v>3046</v>
      </c>
      <c r="C3" s="1073"/>
      <c r="D3" s="1079"/>
      <c r="P3" s="868"/>
      <c r="R3" s="869"/>
      <c r="S3" s="869"/>
      <c r="T3" s="869"/>
      <c r="U3" s="869"/>
    </row>
    <row r="4" spans="1:21" s="1162" customFormat="1">
      <c r="C4" s="1163"/>
      <c r="D4" s="1164"/>
      <c r="P4" s="1165"/>
    </row>
    <row r="5" spans="1:21" s="1208" customFormat="1">
      <c r="B5" s="1166" t="s">
        <v>221</v>
      </c>
      <c r="C5" s="1209"/>
      <c r="D5" s="1210"/>
      <c r="P5" s="1211"/>
      <c r="R5" s="1212"/>
      <c r="S5" s="1212"/>
      <c r="T5" s="1212"/>
      <c r="U5" s="1212"/>
    </row>
    <row r="6" spans="1:21" s="1162" customFormat="1">
      <c r="C6" s="1163"/>
      <c r="D6" s="1164" t="s">
        <v>2693</v>
      </c>
      <c r="F6" s="1162" t="s">
        <v>3047</v>
      </c>
      <c r="P6" s="1165"/>
    </row>
    <row r="7" spans="1:21" s="1162" customFormat="1">
      <c r="B7" s="1166"/>
      <c r="C7" s="1163"/>
      <c r="D7" s="1213">
        <f>IF(xxRound&lt;1,0.15,0.2)</f>
        <v>0.2</v>
      </c>
      <c r="E7" s="1214"/>
      <c r="F7" s="1213">
        <v>0.4</v>
      </c>
      <c r="P7" s="1165"/>
    </row>
    <row r="8" spans="1:21" s="1162" customFormat="1">
      <c r="C8" s="1163"/>
      <c r="D8" s="1164"/>
      <c r="P8" s="1165"/>
    </row>
    <row r="9" spans="1:21" s="1208" customFormat="1">
      <c r="B9" s="1166" t="s">
        <v>1665</v>
      </c>
      <c r="C9" s="1209"/>
      <c r="D9" s="1210"/>
      <c r="P9" s="1211"/>
      <c r="R9" s="1212"/>
      <c r="S9" s="1212"/>
      <c r="T9" s="1212"/>
      <c r="U9" s="1212"/>
    </row>
    <row r="10" spans="1:21" s="1162" customFormat="1">
      <c r="C10" s="1163"/>
      <c r="D10" s="1164" t="s">
        <v>2693</v>
      </c>
      <c r="F10" s="1162" t="s">
        <v>3047</v>
      </c>
      <c r="P10" s="1165"/>
    </row>
    <row r="11" spans="1:21" s="1162" customFormat="1">
      <c r="B11" s="1166"/>
      <c r="C11" s="1163"/>
      <c r="D11" s="1213">
        <v>0.4</v>
      </c>
      <c r="E11" s="1214"/>
      <c r="F11" s="1213">
        <v>0.1</v>
      </c>
      <c r="P11" s="1165"/>
    </row>
    <row r="12" spans="1:21" s="1162" customFormat="1">
      <c r="C12" s="1163"/>
      <c r="D12" s="1164"/>
      <c r="P12" s="1165"/>
    </row>
    <row r="13" spans="1:21" s="1208" customFormat="1">
      <c r="B13" s="1166" t="s">
        <v>772</v>
      </c>
      <c r="C13" s="1209"/>
      <c r="D13" s="1210"/>
      <c r="P13" s="1211"/>
      <c r="R13" s="1212"/>
      <c r="S13" s="1212"/>
      <c r="T13" s="1212"/>
      <c r="U13" s="1212"/>
    </row>
    <row r="14" spans="1:21" s="1162" customFormat="1">
      <c r="C14" s="1163"/>
      <c r="D14" s="1164" t="s">
        <v>2693</v>
      </c>
      <c r="F14" s="1162" t="s">
        <v>3047</v>
      </c>
      <c r="P14" s="1165"/>
    </row>
    <row r="15" spans="1:21" s="1162" customFormat="1">
      <c r="B15" s="1166"/>
      <c r="C15" s="1163"/>
      <c r="D15" s="1213">
        <v>0.95</v>
      </c>
      <c r="E15" s="1214"/>
      <c r="F15" s="1213">
        <v>0.55000000000000004</v>
      </c>
      <c r="P15" s="1165"/>
    </row>
    <row r="16" spans="1:21" s="1162" customFormat="1">
      <c r="C16" s="1163"/>
      <c r="D16" s="1164"/>
      <c r="P16" s="1165"/>
    </row>
    <row r="17" spans="1:21" s="1208" customFormat="1">
      <c r="B17" s="1166" t="s">
        <v>1000</v>
      </c>
      <c r="C17" s="1209"/>
      <c r="D17" s="1210"/>
      <c r="P17" s="1211"/>
      <c r="R17" s="1212"/>
      <c r="S17" s="1212"/>
      <c r="T17" s="1212"/>
      <c r="U17" s="1212"/>
    </row>
    <row r="18" spans="1:21" s="1162" customFormat="1">
      <c r="C18" s="1163"/>
      <c r="D18" s="1164" t="s">
        <v>2693</v>
      </c>
      <c r="F18" s="1162" t="s">
        <v>3047</v>
      </c>
      <c r="P18" s="1165"/>
    </row>
    <row r="19" spans="1:21" s="1162" customFormat="1">
      <c r="B19" s="1166"/>
      <c r="C19" s="1163"/>
      <c r="D19" s="1213">
        <v>0.85</v>
      </c>
      <c r="E19" s="1214"/>
      <c r="F19" s="1213">
        <v>0.6</v>
      </c>
      <c r="P19" s="1165"/>
    </row>
    <row r="20" spans="1:21" s="1162" customFormat="1">
      <c r="C20" s="1163"/>
      <c r="D20" s="1164"/>
      <c r="P20" s="1165"/>
    </row>
    <row r="21" spans="1:21" s="867" customFormat="1">
      <c r="A21" s="867" t="str">
        <f>nmProd1Seg1</f>
        <v>Productivity &amp; Business Enterprise</v>
      </c>
      <c r="C21" s="1073"/>
      <c r="D21" s="1079"/>
      <c r="P21" s="868"/>
      <c r="R21" s="869"/>
      <c r="S21" s="869"/>
      <c r="T21" s="869"/>
      <c r="U21" s="869"/>
    </row>
    <row r="22" spans="1:21" s="1162" customFormat="1">
      <c r="C22" s="1163"/>
      <c r="D22" s="1164"/>
      <c r="P22" s="1165"/>
    </row>
    <row r="23" spans="1:21" s="1162" customFormat="1">
      <c r="B23" s="1166" t="s">
        <v>221</v>
      </c>
      <c r="C23" s="1163"/>
      <c r="D23" s="1164"/>
      <c r="P23" s="1165"/>
    </row>
    <row r="24" spans="1:21" s="1162" customFormat="1">
      <c r="B24" s="1165"/>
      <c r="C24" s="1163"/>
      <c r="D24" s="1163"/>
      <c r="E24" s="1162" t="str">
        <f t="shared" ref="E24:N24" si="0">decTeamName</f>
        <v>Nimbolt</v>
      </c>
      <c r="F24" s="1162" t="str">
        <f t="shared" si="0"/>
        <v>Nimbolt</v>
      </c>
      <c r="G24" s="1162" t="str">
        <f t="shared" si="0"/>
        <v>Nimbolt</v>
      </c>
      <c r="H24" s="1162" t="str">
        <f t="shared" si="0"/>
        <v>Nimbolt</v>
      </c>
      <c r="I24" s="1162" t="str">
        <f t="shared" si="0"/>
        <v>Nimbolt</v>
      </c>
      <c r="J24" s="1162" t="str">
        <f t="shared" si="0"/>
        <v>Nimbolt</v>
      </c>
      <c r="K24" s="1162" t="str">
        <f t="shared" si="0"/>
        <v>Nimbolt</v>
      </c>
      <c r="L24" s="1162" t="str">
        <f t="shared" si="0"/>
        <v>Nimbolt</v>
      </c>
      <c r="M24" s="1162" t="str">
        <f t="shared" si="0"/>
        <v>Nimbolt</v>
      </c>
      <c r="N24" s="1162" t="str">
        <f t="shared" si="0"/>
        <v>Nimbolt</v>
      </c>
      <c r="O24" s="1162" t="s">
        <v>749</v>
      </c>
      <c r="P24" s="1165"/>
    </row>
    <row r="25" spans="1:21" s="1162" customFormat="1">
      <c r="B25" s="1167" t="s">
        <v>776</v>
      </c>
      <c r="C25" s="1163"/>
      <c r="D25" s="1163"/>
      <c r="E25" s="1168"/>
      <c r="F25" s="1168"/>
      <c r="G25" s="1168"/>
      <c r="H25" s="1168"/>
      <c r="I25" s="1168"/>
      <c r="J25" s="1168"/>
      <c r="K25" s="1168"/>
      <c r="L25" s="1168"/>
      <c r="M25" s="1168"/>
      <c r="N25" s="1168"/>
      <c r="O25" s="1168"/>
      <c r="P25" s="1165" t="s">
        <v>2902</v>
      </c>
      <c r="R25" s="1169"/>
      <c r="S25" s="1169"/>
      <c r="T25" s="1169"/>
      <c r="U25" s="1169"/>
    </row>
    <row r="26" spans="1:21" s="1162" customFormat="1">
      <c r="B26" s="1167" t="s">
        <v>1535</v>
      </c>
      <c r="C26" s="1163"/>
      <c r="D26" s="1163"/>
      <c r="E26" s="1170">
        <f t="shared" ref="E26:N26" si="1">cbalOpsProd1Seg1Share*CalibrateBalancing</f>
        <v>9.0000000000000024E-2</v>
      </c>
      <c r="F26" s="1170">
        <f t="shared" si="1"/>
        <v>9.0000000000000024E-2</v>
      </c>
      <c r="G26" s="1170">
        <f t="shared" si="1"/>
        <v>9.0000000000000024E-2</v>
      </c>
      <c r="H26" s="1170">
        <f t="shared" si="1"/>
        <v>9.0000000000000024E-2</v>
      </c>
      <c r="I26" s="1170">
        <f t="shared" si="1"/>
        <v>9.0000000000000024E-2</v>
      </c>
      <c r="J26" s="1170">
        <f t="shared" si="1"/>
        <v>9.0000000000000024E-2</v>
      </c>
      <c r="K26" s="1170">
        <f t="shared" si="1"/>
        <v>9.0000000000000024E-2</v>
      </c>
      <c r="L26" s="1170">
        <f t="shared" si="1"/>
        <v>9.0000000000000024E-2</v>
      </c>
      <c r="M26" s="1170">
        <f t="shared" si="1"/>
        <v>9.0000000000000024E-2</v>
      </c>
      <c r="N26" s="1170">
        <f t="shared" si="1"/>
        <v>9.0000000000000024E-2</v>
      </c>
      <c r="O26" s="1170" t="e">
        <f>INDEX(mmSubProd1Seg1EndingShare,11)</f>
        <v>#NAME?</v>
      </c>
      <c r="P26" s="1165"/>
      <c r="R26" s="1169"/>
      <c r="S26" s="1169"/>
      <c r="T26" s="1169"/>
      <c r="U26" s="1169"/>
    </row>
    <row r="28" spans="1:21" s="1162" customFormat="1">
      <c r="B28" s="1166" t="s">
        <v>1665</v>
      </c>
      <c r="C28" s="1163"/>
      <c r="D28" s="1164"/>
      <c r="P28" s="1165"/>
    </row>
    <row r="29" spans="1:21" s="1162" customFormat="1">
      <c r="B29" s="1165"/>
      <c r="C29" s="1163"/>
      <c r="D29" s="1163"/>
      <c r="E29" s="1162" t="str">
        <f t="shared" ref="E29:N29" si="2">decTeamName</f>
        <v>Nimbolt</v>
      </c>
      <c r="F29" s="1162" t="str">
        <f t="shared" si="2"/>
        <v>Nimbolt</v>
      </c>
      <c r="G29" s="1162" t="str">
        <f t="shared" si="2"/>
        <v>Nimbolt</v>
      </c>
      <c r="H29" s="1162" t="str">
        <f t="shared" si="2"/>
        <v>Nimbolt</v>
      </c>
      <c r="I29" s="1162" t="str">
        <f t="shared" si="2"/>
        <v>Nimbolt</v>
      </c>
      <c r="J29" s="1162" t="str">
        <f t="shared" si="2"/>
        <v>Nimbolt</v>
      </c>
      <c r="K29" s="1162" t="str">
        <f t="shared" si="2"/>
        <v>Nimbolt</v>
      </c>
      <c r="L29" s="1162" t="str">
        <f t="shared" si="2"/>
        <v>Nimbolt</v>
      </c>
      <c r="M29" s="1162" t="str">
        <f t="shared" si="2"/>
        <v>Nimbolt</v>
      </c>
      <c r="N29" s="1162" t="str">
        <f t="shared" si="2"/>
        <v>Nimbolt</v>
      </c>
      <c r="P29" s="1165"/>
    </row>
    <row r="30" spans="1:21" s="1162" customFormat="1">
      <c r="B30" s="1167" t="s">
        <v>776</v>
      </c>
      <c r="C30" s="1163"/>
      <c r="D30" s="1163"/>
      <c r="E30" s="1168"/>
      <c r="F30" s="1168"/>
      <c r="G30" s="1168"/>
      <c r="H30" s="1168"/>
      <c r="I30" s="1168"/>
      <c r="J30" s="1168"/>
      <c r="K30" s="1168"/>
      <c r="L30" s="1168"/>
      <c r="M30" s="1168"/>
      <c r="N30" s="1168"/>
      <c r="P30" s="1165" t="s">
        <v>3041</v>
      </c>
      <c r="R30" s="1169"/>
      <c r="S30" s="1169"/>
      <c r="T30" s="1169"/>
      <c r="U30" s="1169"/>
    </row>
    <row r="31" spans="1:21" s="1162" customFormat="1">
      <c r="B31" s="1167" t="s">
        <v>1535</v>
      </c>
      <c r="C31" s="1163"/>
      <c r="D31" s="1163"/>
      <c r="E31" s="1170">
        <f t="shared" ref="E31:N31" si="3">cbalProd1Seg1Consumption</f>
        <v>0.14499999999999999</v>
      </c>
      <c r="F31" s="1170">
        <f t="shared" si="3"/>
        <v>0.14499999999999999</v>
      </c>
      <c r="G31" s="1170">
        <f t="shared" si="3"/>
        <v>0.14499999999999999</v>
      </c>
      <c r="H31" s="1170">
        <f t="shared" si="3"/>
        <v>0.14499999999999999</v>
      </c>
      <c r="I31" s="1170">
        <f t="shared" si="3"/>
        <v>0.14499999999999999</v>
      </c>
      <c r="J31" s="1170">
        <f t="shared" si="3"/>
        <v>0.14499999999999999</v>
      </c>
      <c r="K31" s="1170">
        <f t="shared" si="3"/>
        <v>0.14499999999999999</v>
      </c>
      <c r="L31" s="1170">
        <f t="shared" si="3"/>
        <v>0.14499999999999999</v>
      </c>
      <c r="M31" s="1170">
        <f t="shared" si="3"/>
        <v>0.14499999999999999</v>
      </c>
      <c r="N31" s="1170">
        <f t="shared" si="3"/>
        <v>0.14499999999999999</v>
      </c>
      <c r="P31" s="1165"/>
      <c r="R31" s="1169"/>
      <c r="S31" s="1169"/>
      <c r="T31" s="1169"/>
      <c r="U31" s="1169"/>
    </row>
    <row r="33" spans="1:21" s="1162" customFormat="1">
      <c r="B33" s="1166" t="s">
        <v>772</v>
      </c>
      <c r="C33" s="1163"/>
      <c r="D33" s="1164"/>
      <c r="P33" s="1165"/>
    </row>
    <row r="34" spans="1:21" s="1162" customFormat="1">
      <c r="B34" s="1165"/>
      <c r="C34" s="1163"/>
      <c r="D34" s="1163"/>
      <c r="E34" s="1162" t="str">
        <f t="shared" ref="E34:N34" si="4">decTeamName</f>
        <v>Nimbolt</v>
      </c>
      <c r="F34" s="1162" t="str">
        <f t="shared" si="4"/>
        <v>Nimbolt</v>
      </c>
      <c r="G34" s="1162" t="str">
        <f t="shared" si="4"/>
        <v>Nimbolt</v>
      </c>
      <c r="H34" s="1162" t="str">
        <f t="shared" si="4"/>
        <v>Nimbolt</v>
      </c>
      <c r="I34" s="1162" t="str">
        <f t="shared" si="4"/>
        <v>Nimbolt</v>
      </c>
      <c r="J34" s="1162" t="str">
        <f t="shared" si="4"/>
        <v>Nimbolt</v>
      </c>
      <c r="K34" s="1162" t="str">
        <f t="shared" si="4"/>
        <v>Nimbolt</v>
      </c>
      <c r="L34" s="1162" t="str">
        <f t="shared" si="4"/>
        <v>Nimbolt</v>
      </c>
      <c r="M34" s="1162" t="str">
        <f t="shared" si="4"/>
        <v>Nimbolt</v>
      </c>
      <c r="N34" s="1162" t="str">
        <f t="shared" si="4"/>
        <v>Nimbolt</v>
      </c>
      <c r="P34" s="1165"/>
    </row>
    <row r="35" spans="1:21" s="1162" customFormat="1">
      <c r="B35" s="1167" t="s">
        <v>776</v>
      </c>
      <c r="C35" s="1163"/>
      <c r="D35" s="1163"/>
      <c r="E35" s="1168"/>
      <c r="F35" s="1168"/>
      <c r="G35" s="1168"/>
      <c r="H35" s="1168"/>
      <c r="I35" s="1168"/>
      <c r="J35" s="1168"/>
      <c r="K35" s="1168"/>
      <c r="L35" s="1168"/>
      <c r="M35" s="1168"/>
      <c r="N35" s="1168"/>
      <c r="P35" s="1165" t="s">
        <v>2995</v>
      </c>
      <c r="R35" s="1169"/>
      <c r="S35" s="1169"/>
      <c r="T35" s="1169"/>
      <c r="U35" s="1169"/>
    </row>
    <row r="36" spans="1:21" s="1162" customFormat="1">
      <c r="B36" s="1167" t="s">
        <v>1535</v>
      </c>
      <c r="C36" s="1163"/>
      <c r="D36" s="1163"/>
      <c r="E36" s="1170">
        <f t="shared" ref="E36:N36" si="5">cbalProd1Seg1RenRate</f>
        <v>0.68994382259548614</v>
      </c>
      <c r="F36" s="1170">
        <f t="shared" si="5"/>
        <v>0.68994382259548614</v>
      </c>
      <c r="G36" s="1170">
        <f t="shared" si="5"/>
        <v>0.68994382259548614</v>
      </c>
      <c r="H36" s="1170">
        <f t="shared" si="5"/>
        <v>0.68994382259548614</v>
      </c>
      <c r="I36" s="1170">
        <f t="shared" si="5"/>
        <v>0.68994382259548614</v>
      </c>
      <c r="J36" s="1170">
        <f t="shared" si="5"/>
        <v>0.68994382259548614</v>
      </c>
      <c r="K36" s="1170">
        <f t="shared" si="5"/>
        <v>0.68994382259548614</v>
      </c>
      <c r="L36" s="1170">
        <f t="shared" si="5"/>
        <v>0.68994382259548614</v>
      </c>
      <c r="M36" s="1170">
        <f t="shared" si="5"/>
        <v>0.68994382259548614</v>
      </c>
      <c r="N36" s="1170">
        <f t="shared" si="5"/>
        <v>0.68994382259548614</v>
      </c>
      <c r="P36" s="1165"/>
      <c r="R36" s="1169"/>
      <c r="S36" s="1169"/>
      <c r="T36" s="1169"/>
      <c r="U36" s="1169"/>
    </row>
    <row r="37" spans="1:21" s="1162" customFormat="1">
      <c r="C37" s="1163"/>
      <c r="D37" s="1163"/>
      <c r="P37" s="1165"/>
      <c r="R37" s="1169"/>
      <c r="S37" s="1169"/>
      <c r="T37" s="1169"/>
      <c r="U37" s="1169"/>
    </row>
    <row r="38" spans="1:21" s="867" customFormat="1">
      <c r="A38" s="867" t="str">
        <f>nmProd1Seg2</f>
        <v>Productivity &amp; Business SMC</v>
      </c>
      <c r="C38" s="1073"/>
      <c r="D38" s="1079"/>
      <c r="P38" s="868"/>
      <c r="R38" s="869"/>
      <c r="S38" s="869"/>
      <c r="T38" s="869"/>
      <c r="U38" s="869"/>
    </row>
    <row r="39" spans="1:21" s="1162" customFormat="1">
      <c r="C39" s="1163"/>
      <c r="D39" s="1164"/>
      <c r="P39" s="1165"/>
    </row>
    <row r="40" spans="1:21" s="1162" customFormat="1">
      <c r="B40" s="1166" t="s">
        <v>221</v>
      </c>
      <c r="C40" s="1163"/>
      <c r="D40" s="1164"/>
      <c r="P40" s="1165"/>
    </row>
    <row r="41" spans="1:21" s="1162" customFormat="1">
      <c r="B41" s="1165"/>
      <c r="C41" s="1163"/>
      <c r="D41" s="1163"/>
      <c r="E41" s="1162" t="str">
        <f t="shared" ref="E41:N41" si="6">decTeamName</f>
        <v>Nimbolt</v>
      </c>
      <c r="F41" s="1162" t="str">
        <f t="shared" si="6"/>
        <v>Nimbolt</v>
      </c>
      <c r="G41" s="1162" t="str">
        <f t="shared" si="6"/>
        <v>Nimbolt</v>
      </c>
      <c r="H41" s="1162" t="str">
        <f t="shared" si="6"/>
        <v>Nimbolt</v>
      </c>
      <c r="I41" s="1162" t="str">
        <f t="shared" si="6"/>
        <v>Nimbolt</v>
      </c>
      <c r="J41" s="1162" t="str">
        <f t="shared" si="6"/>
        <v>Nimbolt</v>
      </c>
      <c r="K41" s="1162" t="str">
        <f t="shared" si="6"/>
        <v>Nimbolt</v>
      </c>
      <c r="L41" s="1162" t="str">
        <f t="shared" si="6"/>
        <v>Nimbolt</v>
      </c>
      <c r="M41" s="1162" t="str">
        <f t="shared" si="6"/>
        <v>Nimbolt</v>
      </c>
      <c r="N41" s="1162" t="str">
        <f t="shared" si="6"/>
        <v>Nimbolt</v>
      </c>
      <c r="O41" s="1162" t="s">
        <v>749</v>
      </c>
      <c r="P41" s="1165"/>
    </row>
    <row r="42" spans="1:21" s="1162" customFormat="1">
      <c r="B42" s="1167" t="s">
        <v>776</v>
      </c>
      <c r="C42" s="1163"/>
      <c r="D42" s="1163"/>
      <c r="E42" s="1168"/>
      <c r="F42" s="1168"/>
      <c r="G42" s="1168"/>
      <c r="H42" s="1168"/>
      <c r="I42" s="1168"/>
      <c r="J42" s="1168"/>
      <c r="K42" s="1168"/>
      <c r="L42" s="1168"/>
      <c r="M42" s="1168"/>
      <c r="N42" s="1168"/>
      <c r="O42" s="1168"/>
      <c r="P42" s="1165" t="s">
        <v>2911</v>
      </c>
      <c r="R42" s="1169"/>
      <c r="S42" s="1169"/>
      <c r="T42" s="1169"/>
      <c r="U42" s="1169"/>
    </row>
    <row r="43" spans="1:21" s="1162" customFormat="1">
      <c r="B43" s="1167" t="s">
        <v>1535</v>
      </c>
      <c r="C43" s="1163"/>
      <c r="D43" s="1163"/>
      <c r="E43" s="1170">
        <f t="shared" ref="E43:N43" si="7">cbalOpsProd1Seg2Share*CalibrateBalancing</f>
        <v>9.0000000000000011E-2</v>
      </c>
      <c r="F43" s="1170">
        <f t="shared" si="7"/>
        <v>9.0000000000000011E-2</v>
      </c>
      <c r="G43" s="1170">
        <f t="shared" si="7"/>
        <v>9.0000000000000011E-2</v>
      </c>
      <c r="H43" s="1170">
        <f t="shared" si="7"/>
        <v>9.0000000000000011E-2</v>
      </c>
      <c r="I43" s="1170">
        <f t="shared" si="7"/>
        <v>9.0000000000000011E-2</v>
      </c>
      <c r="J43" s="1170">
        <f t="shared" si="7"/>
        <v>9.0000000000000011E-2</v>
      </c>
      <c r="K43" s="1170">
        <f t="shared" si="7"/>
        <v>9.0000000000000011E-2</v>
      </c>
      <c r="L43" s="1170">
        <f t="shared" si="7"/>
        <v>9.0000000000000011E-2</v>
      </c>
      <c r="M43" s="1170">
        <f t="shared" si="7"/>
        <v>9.0000000000000011E-2</v>
      </c>
      <c r="N43" s="1170">
        <f t="shared" si="7"/>
        <v>9.0000000000000011E-2</v>
      </c>
      <c r="O43" s="1170" t="e">
        <f>INDEX(mmSubProd1Seg2EndingShare,11)</f>
        <v>#NAME?</v>
      </c>
      <c r="P43" s="1165"/>
      <c r="R43" s="1169"/>
      <c r="S43" s="1169"/>
      <c r="T43" s="1169"/>
      <c r="U43" s="1169"/>
    </row>
    <row r="45" spans="1:21" s="1162" customFormat="1">
      <c r="B45" s="1166" t="s">
        <v>1665</v>
      </c>
      <c r="C45" s="1163"/>
      <c r="D45" s="1164"/>
      <c r="P45" s="1165"/>
    </row>
    <row r="46" spans="1:21" s="1162" customFormat="1">
      <c r="B46" s="1165"/>
      <c r="C46" s="1163"/>
      <c r="D46" s="1163"/>
      <c r="E46" s="1162" t="str">
        <f t="shared" ref="E46:N46" si="8">decTeamName</f>
        <v>Nimbolt</v>
      </c>
      <c r="F46" s="1162" t="str">
        <f t="shared" si="8"/>
        <v>Nimbolt</v>
      </c>
      <c r="G46" s="1162" t="str">
        <f t="shared" si="8"/>
        <v>Nimbolt</v>
      </c>
      <c r="H46" s="1162" t="str">
        <f t="shared" si="8"/>
        <v>Nimbolt</v>
      </c>
      <c r="I46" s="1162" t="str">
        <f t="shared" si="8"/>
        <v>Nimbolt</v>
      </c>
      <c r="J46" s="1162" t="str">
        <f t="shared" si="8"/>
        <v>Nimbolt</v>
      </c>
      <c r="K46" s="1162" t="str">
        <f t="shared" si="8"/>
        <v>Nimbolt</v>
      </c>
      <c r="L46" s="1162" t="str">
        <f t="shared" si="8"/>
        <v>Nimbolt</v>
      </c>
      <c r="M46" s="1162" t="str">
        <f t="shared" si="8"/>
        <v>Nimbolt</v>
      </c>
      <c r="N46" s="1162" t="str">
        <f t="shared" si="8"/>
        <v>Nimbolt</v>
      </c>
      <c r="P46" s="1165"/>
    </row>
    <row r="47" spans="1:21" s="1162" customFormat="1">
      <c r="B47" s="1167" t="s">
        <v>776</v>
      </c>
      <c r="C47" s="1163"/>
      <c r="D47" s="1163"/>
      <c r="E47" s="1168"/>
      <c r="F47" s="1168"/>
      <c r="G47" s="1168"/>
      <c r="H47" s="1168"/>
      <c r="I47" s="1168"/>
      <c r="J47" s="1168"/>
      <c r="K47" s="1168"/>
      <c r="L47" s="1168"/>
      <c r="M47" s="1168"/>
      <c r="N47" s="1168"/>
      <c r="P47" s="1165" t="s">
        <v>3042</v>
      </c>
      <c r="R47" s="1169"/>
      <c r="S47" s="1169"/>
      <c r="T47" s="1169"/>
      <c r="U47" s="1169"/>
    </row>
    <row r="48" spans="1:21" s="1162" customFormat="1">
      <c r="B48" s="1167" t="s">
        <v>1535</v>
      </c>
      <c r="C48" s="1163"/>
      <c r="D48" s="1163"/>
      <c r="E48" s="1170">
        <f t="shared" ref="E48:N48" si="9">cbalProd1Seg2Consumption</f>
        <v>0.14500000000000002</v>
      </c>
      <c r="F48" s="1170">
        <f t="shared" si="9"/>
        <v>0.14500000000000002</v>
      </c>
      <c r="G48" s="1170">
        <f t="shared" si="9"/>
        <v>0.14500000000000002</v>
      </c>
      <c r="H48" s="1170">
        <f t="shared" si="9"/>
        <v>0.14500000000000002</v>
      </c>
      <c r="I48" s="1170">
        <f t="shared" si="9"/>
        <v>0.14500000000000002</v>
      </c>
      <c r="J48" s="1170">
        <f t="shared" si="9"/>
        <v>0.14500000000000002</v>
      </c>
      <c r="K48" s="1170">
        <f t="shared" si="9"/>
        <v>0.14500000000000002</v>
      </c>
      <c r="L48" s="1170">
        <f t="shared" si="9"/>
        <v>0.14500000000000002</v>
      </c>
      <c r="M48" s="1170">
        <f t="shared" si="9"/>
        <v>0.14500000000000002</v>
      </c>
      <c r="N48" s="1170">
        <f t="shared" si="9"/>
        <v>0.14500000000000002</v>
      </c>
      <c r="P48" s="1165"/>
      <c r="R48" s="1169"/>
      <c r="S48" s="1169"/>
      <c r="T48" s="1169"/>
      <c r="U48" s="1169"/>
    </row>
    <row r="49" spans="1:21" s="1162" customFormat="1">
      <c r="C49" s="1163"/>
      <c r="D49" s="1163"/>
      <c r="P49" s="1165"/>
      <c r="R49" s="1169"/>
      <c r="S49" s="1169"/>
      <c r="T49" s="1169"/>
      <c r="U49" s="1169"/>
    </row>
    <row r="51" spans="1:21" s="1162" customFormat="1">
      <c r="B51" s="1166" t="s">
        <v>772</v>
      </c>
      <c r="C51" s="1163"/>
      <c r="D51" s="1164"/>
      <c r="P51" s="1165"/>
    </row>
    <row r="52" spans="1:21" s="1162" customFormat="1">
      <c r="B52" s="1165"/>
      <c r="C52" s="1163"/>
      <c r="D52" s="1163"/>
      <c r="E52" s="1162" t="str">
        <f t="shared" ref="E52:N52" si="10">decTeamName</f>
        <v>Nimbolt</v>
      </c>
      <c r="F52" s="1162" t="str">
        <f t="shared" si="10"/>
        <v>Nimbolt</v>
      </c>
      <c r="G52" s="1162" t="str">
        <f t="shared" si="10"/>
        <v>Nimbolt</v>
      </c>
      <c r="H52" s="1162" t="str">
        <f t="shared" si="10"/>
        <v>Nimbolt</v>
      </c>
      <c r="I52" s="1162" t="str">
        <f t="shared" si="10"/>
        <v>Nimbolt</v>
      </c>
      <c r="J52" s="1162" t="str">
        <f t="shared" si="10"/>
        <v>Nimbolt</v>
      </c>
      <c r="K52" s="1162" t="str">
        <f t="shared" si="10"/>
        <v>Nimbolt</v>
      </c>
      <c r="L52" s="1162" t="str">
        <f t="shared" si="10"/>
        <v>Nimbolt</v>
      </c>
      <c r="M52" s="1162" t="str">
        <f t="shared" si="10"/>
        <v>Nimbolt</v>
      </c>
      <c r="N52" s="1162" t="str">
        <f t="shared" si="10"/>
        <v>Nimbolt</v>
      </c>
      <c r="P52" s="1165"/>
    </row>
    <row r="53" spans="1:21" s="1162" customFormat="1">
      <c r="B53" s="1167" t="s">
        <v>776</v>
      </c>
      <c r="C53" s="1163"/>
      <c r="D53" s="1163"/>
      <c r="E53" s="1168"/>
      <c r="F53" s="1168"/>
      <c r="G53" s="1168"/>
      <c r="H53" s="1168"/>
      <c r="I53" s="1168"/>
      <c r="J53" s="1168"/>
      <c r="K53" s="1168"/>
      <c r="L53" s="1168"/>
      <c r="M53" s="1168"/>
      <c r="N53" s="1168"/>
      <c r="P53" s="1165" t="s">
        <v>2996</v>
      </c>
      <c r="R53" s="1169"/>
      <c r="S53" s="1169"/>
      <c r="T53" s="1169"/>
      <c r="U53" s="1169"/>
    </row>
    <row r="54" spans="1:21" s="1162" customFormat="1">
      <c r="B54" s="1167" t="s">
        <v>1535</v>
      </c>
      <c r="C54" s="1163"/>
      <c r="D54" s="1163"/>
      <c r="E54" s="1170">
        <f t="shared" ref="E54:N54" si="11">cbalProd1Seg2RenRate</f>
        <v>0.68994382259548614</v>
      </c>
      <c r="F54" s="1170">
        <f t="shared" si="11"/>
        <v>0.68994382259548614</v>
      </c>
      <c r="G54" s="1170">
        <f t="shared" si="11"/>
        <v>0.68994382259548614</v>
      </c>
      <c r="H54" s="1170">
        <f t="shared" si="11"/>
        <v>0.68994382259548614</v>
      </c>
      <c r="I54" s="1170">
        <f t="shared" si="11"/>
        <v>0.68994382259548614</v>
      </c>
      <c r="J54" s="1170">
        <f t="shared" si="11"/>
        <v>0.68994382259548614</v>
      </c>
      <c r="K54" s="1170">
        <f t="shared" si="11"/>
        <v>0.68994382259548614</v>
      </c>
      <c r="L54" s="1170">
        <f t="shared" si="11"/>
        <v>0.68994382259548614</v>
      </c>
      <c r="M54" s="1170">
        <f t="shared" si="11"/>
        <v>0.68994382259548614</v>
      </c>
      <c r="N54" s="1170">
        <f t="shared" si="11"/>
        <v>0.68994382259548614</v>
      </c>
      <c r="P54" s="1165"/>
      <c r="R54" s="1169"/>
      <c r="S54" s="1169"/>
      <c r="T54" s="1169"/>
      <c r="U54" s="1169"/>
    </row>
    <row r="55" spans="1:21" s="1162" customFormat="1">
      <c r="C55" s="1163"/>
      <c r="D55" s="1163"/>
      <c r="P55" s="1165"/>
      <c r="R55" s="1169"/>
      <c r="S55" s="1169"/>
      <c r="T55" s="1169"/>
      <c r="U55" s="1169"/>
    </row>
    <row r="56" spans="1:21" s="867" customFormat="1">
      <c r="A56" s="867" t="str">
        <f>nmProd1Seg3</f>
        <v>Productivity &amp; Business Consumer</v>
      </c>
      <c r="C56" s="1073"/>
      <c r="D56" s="1079"/>
      <c r="P56" s="868"/>
      <c r="R56" s="869"/>
      <c r="S56" s="869"/>
      <c r="T56" s="869"/>
      <c r="U56" s="869"/>
    </row>
    <row r="57" spans="1:21" s="1162" customFormat="1">
      <c r="C57" s="1163"/>
      <c r="D57" s="1164"/>
      <c r="P57" s="1165"/>
    </row>
    <row r="58" spans="1:21" s="1162" customFormat="1">
      <c r="B58" s="1166" t="s">
        <v>221</v>
      </c>
      <c r="C58" s="1163"/>
      <c r="D58" s="1164"/>
      <c r="P58" s="1165"/>
    </row>
    <row r="59" spans="1:21" s="1162" customFormat="1">
      <c r="B59" s="1165"/>
      <c r="C59" s="1163"/>
      <c r="D59" s="1163"/>
      <c r="E59" s="1162" t="str">
        <f t="shared" ref="E59:N59" si="12">decTeamName</f>
        <v>Nimbolt</v>
      </c>
      <c r="F59" s="1162" t="str">
        <f t="shared" si="12"/>
        <v>Nimbolt</v>
      </c>
      <c r="G59" s="1162" t="str">
        <f t="shared" si="12"/>
        <v>Nimbolt</v>
      </c>
      <c r="H59" s="1162" t="str">
        <f t="shared" si="12"/>
        <v>Nimbolt</v>
      </c>
      <c r="I59" s="1162" t="str">
        <f t="shared" si="12"/>
        <v>Nimbolt</v>
      </c>
      <c r="J59" s="1162" t="str">
        <f t="shared" si="12"/>
        <v>Nimbolt</v>
      </c>
      <c r="K59" s="1162" t="str">
        <f t="shared" si="12"/>
        <v>Nimbolt</v>
      </c>
      <c r="L59" s="1162" t="str">
        <f t="shared" si="12"/>
        <v>Nimbolt</v>
      </c>
      <c r="M59" s="1162" t="str">
        <f t="shared" si="12"/>
        <v>Nimbolt</v>
      </c>
      <c r="N59" s="1162" t="str">
        <f t="shared" si="12"/>
        <v>Nimbolt</v>
      </c>
      <c r="O59" s="1162" t="s">
        <v>749</v>
      </c>
      <c r="P59" s="1165"/>
    </row>
    <row r="60" spans="1:21" s="1162" customFormat="1">
      <c r="B60" s="1167" t="s">
        <v>776</v>
      </c>
      <c r="C60" s="1163"/>
      <c r="D60" s="1163"/>
      <c r="E60" s="1168"/>
      <c r="F60" s="1168"/>
      <c r="G60" s="1168"/>
      <c r="H60" s="1168"/>
      <c r="I60" s="1168"/>
      <c r="J60" s="1168"/>
      <c r="K60" s="1168"/>
      <c r="L60" s="1168"/>
      <c r="M60" s="1168"/>
      <c r="N60" s="1168"/>
      <c r="O60" s="1168"/>
      <c r="P60" s="1165" t="s">
        <v>2997</v>
      </c>
      <c r="R60" s="1169"/>
      <c r="S60" s="1169"/>
      <c r="T60" s="1169"/>
      <c r="U60" s="1169"/>
    </row>
    <row r="61" spans="1:21" s="1162" customFormat="1">
      <c r="B61" s="1167" t="s">
        <v>1535</v>
      </c>
      <c r="C61" s="1163"/>
      <c r="D61" s="1163"/>
      <c r="E61" s="1170">
        <f t="shared" ref="E61:N61" si="13">cbalOpsProd1Seg3Share*CalibrateBalancing</f>
        <v>9.0000000000000011E-2</v>
      </c>
      <c r="F61" s="1170">
        <f t="shared" si="13"/>
        <v>9.0000000000000011E-2</v>
      </c>
      <c r="G61" s="1170">
        <f t="shared" si="13"/>
        <v>9.0000000000000011E-2</v>
      </c>
      <c r="H61" s="1170">
        <f t="shared" si="13"/>
        <v>9.0000000000000011E-2</v>
      </c>
      <c r="I61" s="1170">
        <f t="shared" si="13"/>
        <v>9.0000000000000011E-2</v>
      </c>
      <c r="J61" s="1170">
        <f t="shared" si="13"/>
        <v>9.0000000000000011E-2</v>
      </c>
      <c r="K61" s="1170">
        <f t="shared" si="13"/>
        <v>9.0000000000000011E-2</v>
      </c>
      <c r="L61" s="1170">
        <f t="shared" si="13"/>
        <v>9.0000000000000011E-2</v>
      </c>
      <c r="M61" s="1170">
        <f t="shared" si="13"/>
        <v>9.0000000000000011E-2</v>
      </c>
      <c r="N61" s="1170">
        <f t="shared" si="13"/>
        <v>9.0000000000000011E-2</v>
      </c>
      <c r="O61" s="1170" t="e">
        <f>INDEX(mmSubProd1Seg3EndingShare,11)</f>
        <v>#NAME?</v>
      </c>
      <c r="P61" s="1165"/>
      <c r="R61" s="1169"/>
      <c r="S61" s="1169"/>
      <c r="T61" s="1169"/>
      <c r="U61" s="1169"/>
    </row>
    <row r="62" spans="1:21" s="1162" customFormat="1">
      <c r="C62" s="1163"/>
      <c r="D62" s="1163"/>
      <c r="P62" s="1165"/>
      <c r="R62" s="1169"/>
      <c r="S62" s="1169"/>
      <c r="T62" s="1169"/>
      <c r="U62" s="1169"/>
    </row>
    <row r="63" spans="1:21" s="1162" customFormat="1">
      <c r="B63" s="1166" t="s">
        <v>1665</v>
      </c>
      <c r="C63" s="1163"/>
      <c r="D63" s="1164"/>
      <c r="P63" s="1165"/>
    </row>
    <row r="64" spans="1:21" s="1162" customFormat="1">
      <c r="B64" s="1165"/>
      <c r="C64" s="1163"/>
      <c r="D64" s="1163"/>
      <c r="E64" s="1162" t="str">
        <f t="shared" ref="E64:N64" si="14">decTeamName</f>
        <v>Nimbolt</v>
      </c>
      <c r="F64" s="1162" t="str">
        <f t="shared" si="14"/>
        <v>Nimbolt</v>
      </c>
      <c r="G64" s="1162" t="str">
        <f t="shared" si="14"/>
        <v>Nimbolt</v>
      </c>
      <c r="H64" s="1162" t="str">
        <f t="shared" si="14"/>
        <v>Nimbolt</v>
      </c>
      <c r="I64" s="1162" t="str">
        <f t="shared" si="14"/>
        <v>Nimbolt</v>
      </c>
      <c r="J64" s="1162" t="str">
        <f t="shared" si="14"/>
        <v>Nimbolt</v>
      </c>
      <c r="K64" s="1162" t="str">
        <f t="shared" si="14"/>
        <v>Nimbolt</v>
      </c>
      <c r="L64" s="1162" t="str">
        <f t="shared" si="14"/>
        <v>Nimbolt</v>
      </c>
      <c r="M64" s="1162" t="str">
        <f t="shared" si="14"/>
        <v>Nimbolt</v>
      </c>
      <c r="N64" s="1162" t="str">
        <f t="shared" si="14"/>
        <v>Nimbolt</v>
      </c>
      <c r="P64" s="1165"/>
    </row>
    <row r="65" spans="1:21" s="1162" customFormat="1">
      <c r="B65" s="1167" t="s">
        <v>776</v>
      </c>
      <c r="C65" s="1163"/>
      <c r="D65" s="1163"/>
      <c r="E65" s="1168"/>
      <c r="F65" s="1168"/>
      <c r="G65" s="1168"/>
      <c r="H65" s="1168"/>
      <c r="I65" s="1168"/>
      <c r="J65" s="1168"/>
      <c r="K65" s="1168"/>
      <c r="L65" s="1168"/>
      <c r="M65" s="1168"/>
      <c r="N65" s="1168"/>
      <c r="P65" s="1165" t="s">
        <v>3043</v>
      </c>
      <c r="R65" s="1169"/>
      <c r="S65" s="1169"/>
      <c r="T65" s="1169"/>
      <c r="U65" s="1169"/>
    </row>
    <row r="66" spans="1:21" s="1162" customFormat="1">
      <c r="B66" s="1167" t="s">
        <v>1535</v>
      </c>
      <c r="C66" s="1163"/>
      <c r="D66" s="1163"/>
      <c r="E66" s="1170">
        <f t="shared" ref="E66:N66" si="15">cbalProd1Seg3Consumption</f>
        <v>0.15500000000000003</v>
      </c>
      <c r="F66" s="1170">
        <f t="shared" si="15"/>
        <v>0.15500000000000003</v>
      </c>
      <c r="G66" s="1170">
        <f t="shared" si="15"/>
        <v>0.15500000000000003</v>
      </c>
      <c r="H66" s="1170">
        <f t="shared" si="15"/>
        <v>0.15500000000000003</v>
      </c>
      <c r="I66" s="1170">
        <f t="shared" si="15"/>
        <v>0.15500000000000003</v>
      </c>
      <c r="J66" s="1170">
        <f t="shared" si="15"/>
        <v>0.15500000000000003</v>
      </c>
      <c r="K66" s="1170">
        <f t="shared" si="15"/>
        <v>0.15500000000000003</v>
      </c>
      <c r="L66" s="1170">
        <f t="shared" si="15"/>
        <v>0.15500000000000003</v>
      </c>
      <c r="M66" s="1170">
        <f t="shared" si="15"/>
        <v>0.15500000000000003</v>
      </c>
      <c r="N66" s="1170">
        <f t="shared" si="15"/>
        <v>0.15500000000000003</v>
      </c>
      <c r="P66" s="1165"/>
      <c r="R66" s="1169"/>
      <c r="S66" s="1169"/>
      <c r="T66" s="1169"/>
      <c r="U66" s="1169"/>
    </row>
    <row r="68" spans="1:21" s="1162" customFormat="1">
      <c r="B68" s="1166" t="s">
        <v>772</v>
      </c>
      <c r="C68" s="1163"/>
      <c r="D68" s="1164"/>
      <c r="P68" s="1165"/>
    </row>
    <row r="69" spans="1:21" s="1162" customFormat="1">
      <c r="B69" s="1165"/>
      <c r="C69" s="1163"/>
      <c r="D69" s="1163"/>
      <c r="E69" s="1162" t="str">
        <f t="shared" ref="E69:N69" si="16">decTeamName</f>
        <v>Nimbolt</v>
      </c>
      <c r="F69" s="1162" t="str">
        <f t="shared" si="16"/>
        <v>Nimbolt</v>
      </c>
      <c r="G69" s="1162" t="str">
        <f t="shared" si="16"/>
        <v>Nimbolt</v>
      </c>
      <c r="H69" s="1162" t="str">
        <f t="shared" si="16"/>
        <v>Nimbolt</v>
      </c>
      <c r="I69" s="1162" t="str">
        <f t="shared" si="16"/>
        <v>Nimbolt</v>
      </c>
      <c r="J69" s="1162" t="str">
        <f t="shared" si="16"/>
        <v>Nimbolt</v>
      </c>
      <c r="K69" s="1162" t="str">
        <f t="shared" si="16"/>
        <v>Nimbolt</v>
      </c>
      <c r="L69" s="1162" t="str">
        <f t="shared" si="16"/>
        <v>Nimbolt</v>
      </c>
      <c r="M69" s="1162" t="str">
        <f t="shared" si="16"/>
        <v>Nimbolt</v>
      </c>
      <c r="N69" s="1162" t="str">
        <f t="shared" si="16"/>
        <v>Nimbolt</v>
      </c>
      <c r="P69" s="1165"/>
    </row>
    <row r="70" spans="1:21" s="1162" customFormat="1">
      <c r="B70" s="1167" t="s">
        <v>776</v>
      </c>
      <c r="C70" s="1163"/>
      <c r="D70" s="1163"/>
      <c r="E70" s="1168"/>
      <c r="F70" s="1168"/>
      <c r="G70" s="1168"/>
      <c r="H70" s="1168"/>
      <c r="I70" s="1168"/>
      <c r="J70" s="1168"/>
      <c r="K70" s="1168"/>
      <c r="L70" s="1168"/>
      <c r="M70" s="1168"/>
      <c r="N70" s="1168"/>
      <c r="P70" s="1165" t="s">
        <v>2998</v>
      </c>
      <c r="R70" s="1169"/>
      <c r="S70" s="1169"/>
      <c r="T70" s="1169"/>
      <c r="U70" s="1169"/>
    </row>
    <row r="71" spans="1:21" s="1162" customFormat="1">
      <c r="B71" s="1167" t="s">
        <v>1535</v>
      </c>
      <c r="C71" s="1163"/>
      <c r="D71" s="1163"/>
      <c r="E71" s="1170">
        <f t="shared" ref="E71:N71" si="17">cbalProd1Seg3RenRate</f>
        <v>0.68994382259548614</v>
      </c>
      <c r="F71" s="1170">
        <f t="shared" si="17"/>
        <v>0.68994382259548614</v>
      </c>
      <c r="G71" s="1170">
        <f t="shared" si="17"/>
        <v>0.68994382259548614</v>
      </c>
      <c r="H71" s="1170">
        <f t="shared" si="17"/>
        <v>0.68994382259548614</v>
      </c>
      <c r="I71" s="1170">
        <f t="shared" si="17"/>
        <v>0.68994382259548614</v>
      </c>
      <c r="J71" s="1170">
        <f t="shared" si="17"/>
        <v>0.68994382259548614</v>
      </c>
      <c r="K71" s="1170">
        <f t="shared" si="17"/>
        <v>0.68994382259548614</v>
      </c>
      <c r="L71" s="1170">
        <f t="shared" si="17"/>
        <v>0.68994382259548614</v>
      </c>
      <c r="M71" s="1170">
        <f t="shared" si="17"/>
        <v>0.68994382259548614</v>
      </c>
      <c r="N71" s="1170">
        <f t="shared" si="17"/>
        <v>0.68994382259548614</v>
      </c>
      <c r="P71" s="1165"/>
      <c r="R71" s="1169"/>
      <c r="S71" s="1169"/>
      <c r="T71" s="1169"/>
      <c r="U71" s="1169"/>
    </row>
    <row r="72" spans="1:21" s="1162" customFormat="1">
      <c r="C72" s="1163"/>
      <c r="D72" s="1163"/>
      <c r="P72" s="1165"/>
      <c r="R72" s="1169"/>
      <c r="S72" s="1169"/>
      <c r="T72" s="1169"/>
      <c r="U72" s="1169"/>
    </row>
    <row r="73" spans="1:21" s="867" customFormat="1">
      <c r="A73" s="867" t="str">
        <f>nmProd2Seg1</f>
        <v>Intelligent Cloud Enterprise</v>
      </c>
      <c r="C73" s="1073"/>
      <c r="D73" s="1079"/>
      <c r="P73" s="868"/>
      <c r="R73" s="869"/>
      <c r="S73" s="869"/>
      <c r="T73" s="869"/>
      <c r="U73" s="869"/>
    </row>
    <row r="74" spans="1:21" s="1162" customFormat="1">
      <c r="C74" s="1163"/>
      <c r="D74" s="1164"/>
      <c r="P74" s="1165"/>
    </row>
    <row r="75" spans="1:21" s="1162" customFormat="1">
      <c r="B75" s="1166" t="s">
        <v>221</v>
      </c>
      <c r="C75" s="1163"/>
      <c r="D75" s="1164"/>
      <c r="P75" s="1165"/>
    </row>
    <row r="76" spans="1:21" s="1162" customFormat="1">
      <c r="B76" s="1165"/>
      <c r="C76" s="1163"/>
      <c r="D76" s="1163"/>
      <c r="E76" s="1162" t="str">
        <f t="shared" ref="E76:N76" si="18">decTeamName</f>
        <v>Nimbolt</v>
      </c>
      <c r="F76" s="1162" t="str">
        <f t="shared" si="18"/>
        <v>Nimbolt</v>
      </c>
      <c r="G76" s="1162" t="str">
        <f t="shared" si="18"/>
        <v>Nimbolt</v>
      </c>
      <c r="H76" s="1162" t="str">
        <f t="shared" si="18"/>
        <v>Nimbolt</v>
      </c>
      <c r="I76" s="1162" t="str">
        <f t="shared" si="18"/>
        <v>Nimbolt</v>
      </c>
      <c r="J76" s="1162" t="str">
        <f t="shared" si="18"/>
        <v>Nimbolt</v>
      </c>
      <c r="K76" s="1162" t="str">
        <f t="shared" si="18"/>
        <v>Nimbolt</v>
      </c>
      <c r="L76" s="1162" t="str">
        <f t="shared" si="18"/>
        <v>Nimbolt</v>
      </c>
      <c r="M76" s="1162" t="str">
        <f t="shared" si="18"/>
        <v>Nimbolt</v>
      </c>
      <c r="N76" s="1162" t="str">
        <f t="shared" si="18"/>
        <v>Nimbolt</v>
      </c>
      <c r="O76" s="1162" t="s">
        <v>749</v>
      </c>
      <c r="P76" s="1165"/>
    </row>
    <row r="77" spans="1:21" s="1162" customFormat="1">
      <c r="B77" s="1167" t="s">
        <v>776</v>
      </c>
      <c r="C77" s="1163"/>
      <c r="D77" s="1163"/>
      <c r="E77" s="1168"/>
      <c r="F77" s="1168"/>
      <c r="G77" s="1168"/>
      <c r="H77" s="1168"/>
      <c r="I77" s="1168"/>
      <c r="J77" s="1168"/>
      <c r="K77" s="1168"/>
      <c r="L77" s="1168"/>
      <c r="M77" s="1168"/>
      <c r="N77" s="1168"/>
      <c r="O77" s="1168"/>
      <c r="P77" s="1165" t="s">
        <v>2999</v>
      </c>
      <c r="R77" s="1169"/>
      <c r="S77" s="1169"/>
      <c r="T77" s="1169"/>
      <c r="U77" s="1169"/>
    </row>
    <row r="78" spans="1:21" s="1162" customFormat="1">
      <c r="B78" s="1167" t="s">
        <v>1535</v>
      </c>
      <c r="C78" s="1163"/>
      <c r="D78" s="1163"/>
      <c r="E78" s="1170">
        <f t="shared" ref="E78:N78" si="19">cbalOpsProd2Seg1Share*CalibrateBalancing</f>
        <v>9.0000000000000024E-2</v>
      </c>
      <c r="F78" s="1170">
        <f t="shared" si="19"/>
        <v>9.0000000000000024E-2</v>
      </c>
      <c r="G78" s="1170">
        <f t="shared" si="19"/>
        <v>9.0000000000000024E-2</v>
      </c>
      <c r="H78" s="1170">
        <f t="shared" si="19"/>
        <v>9.0000000000000024E-2</v>
      </c>
      <c r="I78" s="1170">
        <f t="shared" si="19"/>
        <v>9.0000000000000024E-2</v>
      </c>
      <c r="J78" s="1170">
        <f t="shared" si="19"/>
        <v>9.0000000000000024E-2</v>
      </c>
      <c r="K78" s="1170">
        <f t="shared" si="19"/>
        <v>9.0000000000000024E-2</v>
      </c>
      <c r="L78" s="1170">
        <f t="shared" si="19"/>
        <v>9.0000000000000024E-2</v>
      </c>
      <c r="M78" s="1170">
        <f t="shared" si="19"/>
        <v>9.0000000000000024E-2</v>
      </c>
      <c r="N78" s="1170">
        <f t="shared" si="19"/>
        <v>9.0000000000000024E-2</v>
      </c>
      <c r="O78" s="1170" t="e">
        <f>INDEX(mmSubProd2Seg1EndingShare,11)</f>
        <v>#NAME?</v>
      </c>
      <c r="P78" s="1165"/>
      <c r="R78" s="1169"/>
      <c r="S78" s="1169"/>
      <c r="T78" s="1169"/>
      <c r="U78" s="1169"/>
    </row>
    <row r="79" spans="1:21" s="1162" customFormat="1">
      <c r="C79" s="1163"/>
      <c r="D79" s="1163"/>
      <c r="P79" s="1165"/>
      <c r="R79" s="1169"/>
      <c r="S79" s="1169"/>
      <c r="T79" s="1169"/>
      <c r="U79" s="1169"/>
    </row>
    <row r="80" spans="1:21" s="1162" customFormat="1">
      <c r="B80" s="1166" t="s">
        <v>1665</v>
      </c>
      <c r="C80" s="1163"/>
      <c r="D80" s="1164"/>
      <c r="P80" s="1165"/>
    </row>
    <row r="81" spans="1:21" s="1162" customFormat="1">
      <c r="B81" s="1165"/>
      <c r="C81" s="1163"/>
      <c r="D81" s="1163"/>
      <c r="E81" s="1162" t="str">
        <f t="shared" ref="E81:N81" si="20">decTeamName</f>
        <v>Nimbolt</v>
      </c>
      <c r="F81" s="1162" t="str">
        <f t="shared" si="20"/>
        <v>Nimbolt</v>
      </c>
      <c r="G81" s="1162" t="str">
        <f t="shared" si="20"/>
        <v>Nimbolt</v>
      </c>
      <c r="H81" s="1162" t="str">
        <f t="shared" si="20"/>
        <v>Nimbolt</v>
      </c>
      <c r="I81" s="1162" t="str">
        <f t="shared" si="20"/>
        <v>Nimbolt</v>
      </c>
      <c r="J81" s="1162" t="str">
        <f t="shared" si="20"/>
        <v>Nimbolt</v>
      </c>
      <c r="K81" s="1162" t="str">
        <f t="shared" si="20"/>
        <v>Nimbolt</v>
      </c>
      <c r="L81" s="1162" t="str">
        <f t="shared" si="20"/>
        <v>Nimbolt</v>
      </c>
      <c r="M81" s="1162" t="str">
        <f t="shared" si="20"/>
        <v>Nimbolt</v>
      </c>
      <c r="N81" s="1162" t="str">
        <f t="shared" si="20"/>
        <v>Nimbolt</v>
      </c>
      <c r="P81" s="1165"/>
    </row>
    <row r="82" spans="1:21" s="1162" customFormat="1">
      <c r="B82" s="1167" t="s">
        <v>776</v>
      </c>
      <c r="C82" s="1163"/>
      <c r="D82" s="1163"/>
      <c r="E82" s="1168"/>
      <c r="F82" s="1168"/>
      <c r="G82" s="1168"/>
      <c r="H82" s="1168"/>
      <c r="I82" s="1168"/>
      <c r="J82" s="1168"/>
      <c r="K82" s="1168"/>
      <c r="L82" s="1168"/>
      <c r="M82" s="1168"/>
      <c r="N82" s="1168"/>
      <c r="P82" s="1165" t="s">
        <v>3044</v>
      </c>
      <c r="R82" s="1169"/>
      <c r="S82" s="1169"/>
      <c r="T82" s="1169"/>
      <c r="U82" s="1169"/>
    </row>
    <row r="83" spans="1:21" s="1162" customFormat="1">
      <c r="B83" s="1167" t="s">
        <v>1535</v>
      </c>
      <c r="C83" s="1163"/>
      <c r="D83" s="1163"/>
      <c r="E83" s="1170">
        <f t="shared" ref="E83:N83" si="21">cbalProd2Seg1Consumption</f>
        <v>0.14499999999999999</v>
      </c>
      <c r="F83" s="1170">
        <f t="shared" si="21"/>
        <v>0.14499999999999999</v>
      </c>
      <c r="G83" s="1170">
        <f t="shared" si="21"/>
        <v>0.14499999999999999</v>
      </c>
      <c r="H83" s="1170">
        <f t="shared" si="21"/>
        <v>0.14499999999999999</v>
      </c>
      <c r="I83" s="1170">
        <f t="shared" si="21"/>
        <v>0.14499999999999999</v>
      </c>
      <c r="J83" s="1170">
        <f t="shared" si="21"/>
        <v>0.14499999999999999</v>
      </c>
      <c r="K83" s="1170">
        <f t="shared" si="21"/>
        <v>0.14499999999999999</v>
      </c>
      <c r="L83" s="1170">
        <f t="shared" si="21"/>
        <v>0.14499999999999999</v>
      </c>
      <c r="M83" s="1170">
        <f t="shared" si="21"/>
        <v>0.14499999999999999</v>
      </c>
      <c r="N83" s="1170">
        <f t="shared" si="21"/>
        <v>0.14499999999999999</v>
      </c>
      <c r="P83" s="1165"/>
      <c r="R83" s="1169"/>
      <c r="S83" s="1169"/>
      <c r="T83" s="1169"/>
      <c r="U83" s="1169"/>
    </row>
    <row r="85" spans="1:21" s="1162" customFormat="1">
      <c r="B85" s="1166" t="s">
        <v>772</v>
      </c>
      <c r="C85" s="1163"/>
      <c r="D85" s="1164"/>
      <c r="P85" s="1165"/>
    </row>
    <row r="86" spans="1:21" s="1162" customFormat="1">
      <c r="B86" s="1165"/>
      <c r="C86" s="1163"/>
      <c r="D86" s="1163"/>
      <c r="E86" s="1162" t="str">
        <f t="shared" ref="E86:N86" si="22">decTeamName</f>
        <v>Nimbolt</v>
      </c>
      <c r="F86" s="1162" t="str">
        <f t="shared" si="22"/>
        <v>Nimbolt</v>
      </c>
      <c r="G86" s="1162" t="str">
        <f t="shared" si="22"/>
        <v>Nimbolt</v>
      </c>
      <c r="H86" s="1162" t="str">
        <f t="shared" si="22"/>
        <v>Nimbolt</v>
      </c>
      <c r="I86" s="1162" t="str">
        <f t="shared" si="22"/>
        <v>Nimbolt</v>
      </c>
      <c r="J86" s="1162" t="str">
        <f t="shared" si="22"/>
        <v>Nimbolt</v>
      </c>
      <c r="K86" s="1162" t="str">
        <f t="shared" si="22"/>
        <v>Nimbolt</v>
      </c>
      <c r="L86" s="1162" t="str">
        <f t="shared" si="22"/>
        <v>Nimbolt</v>
      </c>
      <c r="M86" s="1162" t="str">
        <f t="shared" si="22"/>
        <v>Nimbolt</v>
      </c>
      <c r="N86" s="1162" t="str">
        <f t="shared" si="22"/>
        <v>Nimbolt</v>
      </c>
      <c r="P86" s="1165"/>
    </row>
    <row r="87" spans="1:21" s="1162" customFormat="1">
      <c r="B87" s="1167" t="s">
        <v>776</v>
      </c>
      <c r="C87" s="1163"/>
      <c r="D87" s="1163"/>
      <c r="E87" s="1168"/>
      <c r="F87" s="1168"/>
      <c r="G87" s="1168"/>
      <c r="H87" s="1168"/>
      <c r="I87" s="1168"/>
      <c r="J87" s="1168"/>
      <c r="K87" s="1168"/>
      <c r="L87" s="1168"/>
      <c r="M87" s="1168"/>
      <c r="N87" s="1168"/>
      <c r="P87" s="1165" t="s">
        <v>3000</v>
      </c>
      <c r="R87" s="1169"/>
      <c r="S87" s="1169"/>
      <c r="T87" s="1169"/>
      <c r="U87" s="1169"/>
    </row>
    <row r="88" spans="1:21" s="1162" customFormat="1">
      <c r="B88" s="1167" t="s">
        <v>1535</v>
      </c>
      <c r="C88" s="1163"/>
      <c r="D88" s="1163"/>
      <c r="E88" s="1170">
        <f t="shared" ref="E88:N88" si="23">cbalProd2Seg1RenRate</f>
        <v>0.68994382259548614</v>
      </c>
      <c r="F88" s="1170">
        <f t="shared" si="23"/>
        <v>0.68994382259548614</v>
      </c>
      <c r="G88" s="1170">
        <f t="shared" si="23"/>
        <v>0.68994382259548614</v>
      </c>
      <c r="H88" s="1170">
        <f t="shared" si="23"/>
        <v>0.68994382259548614</v>
      </c>
      <c r="I88" s="1170">
        <f t="shared" si="23"/>
        <v>0.68994382259548614</v>
      </c>
      <c r="J88" s="1170">
        <f t="shared" si="23"/>
        <v>0.68994382259548614</v>
      </c>
      <c r="K88" s="1170">
        <f t="shared" si="23"/>
        <v>0.68994382259548614</v>
      </c>
      <c r="L88" s="1170">
        <f t="shared" si="23"/>
        <v>0.68994382259548614</v>
      </c>
      <c r="M88" s="1170">
        <f t="shared" si="23"/>
        <v>0.68994382259548614</v>
      </c>
      <c r="N88" s="1170">
        <f t="shared" si="23"/>
        <v>0.68994382259548614</v>
      </c>
      <c r="P88" s="1165"/>
      <c r="R88" s="1169"/>
      <c r="S88" s="1169"/>
      <c r="T88" s="1169"/>
      <c r="U88" s="1169"/>
    </row>
    <row r="89" spans="1:21" s="1162" customFormat="1">
      <c r="C89" s="1163"/>
      <c r="D89" s="1163"/>
      <c r="P89" s="1165"/>
      <c r="R89" s="1169"/>
      <c r="S89" s="1169"/>
      <c r="T89" s="1169"/>
      <c r="U89" s="1169"/>
    </row>
    <row r="90" spans="1:21" s="867" customFormat="1">
      <c r="A90" s="867" t="str">
        <f>nmProd2Seg2</f>
        <v>Intelligent Cloud SMC</v>
      </c>
      <c r="C90" s="1073"/>
      <c r="D90" s="1079"/>
      <c r="P90" s="868"/>
      <c r="R90" s="869"/>
      <c r="S90" s="869"/>
      <c r="T90" s="869"/>
      <c r="U90" s="869"/>
    </row>
    <row r="91" spans="1:21" s="1162" customFormat="1">
      <c r="C91" s="1163"/>
      <c r="D91" s="1164"/>
      <c r="P91" s="1165"/>
    </row>
    <row r="92" spans="1:21" s="1162" customFormat="1">
      <c r="B92" s="1166" t="s">
        <v>221</v>
      </c>
      <c r="C92" s="1163"/>
      <c r="D92" s="1164"/>
      <c r="P92" s="1165"/>
    </row>
    <row r="93" spans="1:21" s="1162" customFormat="1">
      <c r="B93" s="1165"/>
      <c r="C93" s="1163"/>
      <c r="D93" s="1163"/>
      <c r="E93" s="1162" t="str">
        <f t="shared" ref="E93:N93" si="24">decTeamName</f>
        <v>Nimbolt</v>
      </c>
      <c r="F93" s="1162" t="str">
        <f t="shared" si="24"/>
        <v>Nimbolt</v>
      </c>
      <c r="G93" s="1162" t="str">
        <f t="shared" si="24"/>
        <v>Nimbolt</v>
      </c>
      <c r="H93" s="1162" t="str">
        <f t="shared" si="24"/>
        <v>Nimbolt</v>
      </c>
      <c r="I93" s="1162" t="str">
        <f t="shared" si="24"/>
        <v>Nimbolt</v>
      </c>
      <c r="J93" s="1162" t="str">
        <f t="shared" si="24"/>
        <v>Nimbolt</v>
      </c>
      <c r="K93" s="1162" t="str">
        <f t="shared" si="24"/>
        <v>Nimbolt</v>
      </c>
      <c r="L93" s="1162" t="str">
        <f t="shared" si="24"/>
        <v>Nimbolt</v>
      </c>
      <c r="M93" s="1162" t="str">
        <f t="shared" si="24"/>
        <v>Nimbolt</v>
      </c>
      <c r="N93" s="1162" t="str">
        <f t="shared" si="24"/>
        <v>Nimbolt</v>
      </c>
      <c r="O93" s="1162" t="s">
        <v>749</v>
      </c>
      <c r="P93" s="1165"/>
    </row>
    <row r="94" spans="1:21" s="1162" customFormat="1">
      <c r="B94" s="1167" t="s">
        <v>776</v>
      </c>
      <c r="C94" s="1163"/>
      <c r="D94" s="1163"/>
      <c r="E94" s="1168"/>
      <c r="F94" s="1168"/>
      <c r="G94" s="1168"/>
      <c r="H94" s="1168"/>
      <c r="I94" s="1168"/>
      <c r="J94" s="1168"/>
      <c r="K94" s="1168"/>
      <c r="L94" s="1168"/>
      <c r="M94" s="1168"/>
      <c r="N94" s="1168"/>
      <c r="O94" s="1168"/>
      <c r="P94" s="1165" t="s">
        <v>2903</v>
      </c>
      <c r="R94" s="1169"/>
      <c r="S94" s="1169"/>
      <c r="T94" s="1169"/>
      <c r="U94" s="1169"/>
    </row>
    <row r="95" spans="1:21" s="1162" customFormat="1">
      <c r="B95" s="1167" t="s">
        <v>1535</v>
      </c>
      <c r="C95" s="1163"/>
      <c r="D95" s="1163"/>
      <c r="E95" s="1170">
        <f t="shared" ref="E95:N95" si="25">cbalOpsProd2Seg2Share*CalibrateBalancing</f>
        <v>9.0000000000000011E-2</v>
      </c>
      <c r="F95" s="1170">
        <f t="shared" si="25"/>
        <v>9.0000000000000011E-2</v>
      </c>
      <c r="G95" s="1170">
        <f t="shared" si="25"/>
        <v>9.0000000000000011E-2</v>
      </c>
      <c r="H95" s="1170">
        <f t="shared" si="25"/>
        <v>9.0000000000000011E-2</v>
      </c>
      <c r="I95" s="1170">
        <f t="shared" si="25"/>
        <v>9.0000000000000011E-2</v>
      </c>
      <c r="J95" s="1170">
        <f t="shared" si="25"/>
        <v>9.0000000000000011E-2</v>
      </c>
      <c r="K95" s="1170">
        <f t="shared" si="25"/>
        <v>9.0000000000000011E-2</v>
      </c>
      <c r="L95" s="1170">
        <f t="shared" si="25"/>
        <v>9.0000000000000011E-2</v>
      </c>
      <c r="M95" s="1170">
        <f t="shared" si="25"/>
        <v>9.0000000000000011E-2</v>
      </c>
      <c r="N95" s="1170">
        <f t="shared" si="25"/>
        <v>9.0000000000000011E-2</v>
      </c>
      <c r="O95" s="1170" t="e">
        <f>INDEX(mmSubProd2Seg2EndingShare,11)</f>
        <v>#NAME?</v>
      </c>
      <c r="P95" s="1165"/>
      <c r="R95" s="1169"/>
      <c r="S95" s="1169"/>
      <c r="T95" s="1169"/>
      <c r="U95" s="1169"/>
    </row>
    <row r="96" spans="1:21" s="1162" customFormat="1">
      <c r="C96" s="1163"/>
      <c r="D96" s="1163"/>
      <c r="P96" s="1165"/>
      <c r="R96" s="1169"/>
      <c r="S96" s="1169"/>
      <c r="T96" s="1169"/>
      <c r="U96" s="1169"/>
    </row>
    <row r="97" spans="1:21" s="1162" customFormat="1">
      <c r="B97" s="1166" t="s">
        <v>1665</v>
      </c>
      <c r="C97" s="1163"/>
      <c r="D97" s="1164"/>
      <c r="P97" s="1165"/>
    </row>
    <row r="98" spans="1:21" s="1162" customFormat="1">
      <c r="B98" s="1165"/>
      <c r="C98" s="1163"/>
      <c r="D98" s="1163"/>
      <c r="E98" s="1162" t="str">
        <f t="shared" ref="E98:N98" si="26">decTeamName</f>
        <v>Nimbolt</v>
      </c>
      <c r="F98" s="1162" t="str">
        <f t="shared" si="26"/>
        <v>Nimbolt</v>
      </c>
      <c r="G98" s="1162" t="str">
        <f t="shared" si="26"/>
        <v>Nimbolt</v>
      </c>
      <c r="H98" s="1162" t="str">
        <f t="shared" si="26"/>
        <v>Nimbolt</v>
      </c>
      <c r="I98" s="1162" t="str">
        <f t="shared" si="26"/>
        <v>Nimbolt</v>
      </c>
      <c r="J98" s="1162" t="str">
        <f t="shared" si="26"/>
        <v>Nimbolt</v>
      </c>
      <c r="K98" s="1162" t="str">
        <f t="shared" si="26"/>
        <v>Nimbolt</v>
      </c>
      <c r="L98" s="1162" t="str">
        <f t="shared" si="26"/>
        <v>Nimbolt</v>
      </c>
      <c r="M98" s="1162" t="str">
        <f t="shared" si="26"/>
        <v>Nimbolt</v>
      </c>
      <c r="N98" s="1162" t="str">
        <f t="shared" si="26"/>
        <v>Nimbolt</v>
      </c>
      <c r="P98" s="1165"/>
    </row>
    <row r="99" spans="1:21" s="1162" customFormat="1">
      <c r="B99" s="1167" t="s">
        <v>776</v>
      </c>
      <c r="C99" s="1163"/>
      <c r="D99" s="1163"/>
      <c r="E99" s="1168"/>
      <c r="F99" s="1168"/>
      <c r="G99" s="1168"/>
      <c r="H99" s="1168"/>
      <c r="I99" s="1168"/>
      <c r="J99" s="1168"/>
      <c r="K99" s="1168"/>
      <c r="L99" s="1168"/>
      <c r="M99" s="1168"/>
      <c r="N99" s="1168"/>
      <c r="P99" s="1165" t="s">
        <v>3045</v>
      </c>
      <c r="R99" s="1169"/>
      <c r="S99" s="1169"/>
      <c r="T99" s="1169"/>
      <c r="U99" s="1169"/>
    </row>
    <row r="100" spans="1:21" s="1162" customFormat="1">
      <c r="B100" s="1167" t="s">
        <v>1535</v>
      </c>
      <c r="C100" s="1163"/>
      <c r="D100" s="1163"/>
      <c r="E100" s="1170">
        <f t="shared" ref="E100:N100" si="27">cbalProd2Seg2Consumption</f>
        <v>0.14500000000000002</v>
      </c>
      <c r="F100" s="1170">
        <f t="shared" si="27"/>
        <v>0.14500000000000002</v>
      </c>
      <c r="G100" s="1170">
        <f t="shared" si="27"/>
        <v>0.14500000000000002</v>
      </c>
      <c r="H100" s="1170">
        <f t="shared" si="27"/>
        <v>0.14500000000000002</v>
      </c>
      <c r="I100" s="1170">
        <f t="shared" si="27"/>
        <v>0.14500000000000002</v>
      </c>
      <c r="J100" s="1170">
        <f t="shared" si="27"/>
        <v>0.14500000000000002</v>
      </c>
      <c r="K100" s="1170">
        <f t="shared" si="27"/>
        <v>0.14500000000000002</v>
      </c>
      <c r="L100" s="1170">
        <f t="shared" si="27"/>
        <v>0.14500000000000002</v>
      </c>
      <c r="M100" s="1170">
        <f t="shared" si="27"/>
        <v>0.14500000000000002</v>
      </c>
      <c r="N100" s="1170">
        <f t="shared" si="27"/>
        <v>0.14500000000000002</v>
      </c>
      <c r="P100" s="1165"/>
      <c r="R100" s="1169"/>
      <c r="S100" s="1169"/>
      <c r="T100" s="1169"/>
      <c r="U100" s="1169"/>
    </row>
    <row r="102" spans="1:21" s="1162" customFormat="1">
      <c r="B102" s="1166" t="s">
        <v>772</v>
      </c>
      <c r="C102" s="1163"/>
      <c r="D102" s="1164"/>
      <c r="P102" s="1165"/>
    </row>
    <row r="103" spans="1:21" s="1162" customFormat="1">
      <c r="B103" s="1165"/>
      <c r="C103" s="1163"/>
      <c r="D103" s="1163"/>
      <c r="E103" s="1162" t="str">
        <f t="shared" ref="E103:N103" si="28">decTeamName</f>
        <v>Nimbolt</v>
      </c>
      <c r="F103" s="1162" t="str">
        <f t="shared" si="28"/>
        <v>Nimbolt</v>
      </c>
      <c r="G103" s="1162" t="str">
        <f t="shared" si="28"/>
        <v>Nimbolt</v>
      </c>
      <c r="H103" s="1162" t="str">
        <f t="shared" si="28"/>
        <v>Nimbolt</v>
      </c>
      <c r="I103" s="1162" t="str">
        <f t="shared" si="28"/>
        <v>Nimbolt</v>
      </c>
      <c r="J103" s="1162" t="str">
        <f t="shared" si="28"/>
        <v>Nimbolt</v>
      </c>
      <c r="K103" s="1162" t="str">
        <f t="shared" si="28"/>
        <v>Nimbolt</v>
      </c>
      <c r="L103" s="1162" t="str">
        <f t="shared" si="28"/>
        <v>Nimbolt</v>
      </c>
      <c r="M103" s="1162" t="str">
        <f t="shared" si="28"/>
        <v>Nimbolt</v>
      </c>
      <c r="N103" s="1162" t="str">
        <f t="shared" si="28"/>
        <v>Nimbolt</v>
      </c>
      <c r="P103" s="1165"/>
    </row>
    <row r="104" spans="1:21" s="1162" customFormat="1">
      <c r="B104" s="1167" t="s">
        <v>776</v>
      </c>
      <c r="C104" s="1163"/>
      <c r="D104" s="1163"/>
      <c r="E104" s="1168"/>
      <c r="F104" s="1168"/>
      <c r="G104" s="1168"/>
      <c r="H104" s="1168"/>
      <c r="I104" s="1168"/>
      <c r="J104" s="1168"/>
      <c r="K104" s="1168"/>
      <c r="L104" s="1168"/>
      <c r="M104" s="1168"/>
      <c r="N104" s="1168"/>
      <c r="P104" s="1165" t="s">
        <v>3001</v>
      </c>
      <c r="R104" s="1169"/>
      <c r="S104" s="1169"/>
      <c r="T104" s="1169"/>
      <c r="U104" s="1169"/>
    </row>
    <row r="105" spans="1:21" s="1162" customFormat="1">
      <c r="B105" s="1167" t="s">
        <v>1535</v>
      </c>
      <c r="C105" s="1163"/>
      <c r="D105" s="1163"/>
      <c r="E105" s="1170">
        <f t="shared" ref="E105:N105" si="29">cbalProd2Seg2RenRate</f>
        <v>0.68994382259548614</v>
      </c>
      <c r="F105" s="1170">
        <f t="shared" si="29"/>
        <v>0.68994382259548614</v>
      </c>
      <c r="G105" s="1170">
        <f t="shared" si="29"/>
        <v>0.68994382259548614</v>
      </c>
      <c r="H105" s="1170">
        <f t="shared" si="29"/>
        <v>0.68994382259548614</v>
      </c>
      <c r="I105" s="1170">
        <f t="shared" si="29"/>
        <v>0.68994382259548614</v>
      </c>
      <c r="J105" s="1170">
        <f t="shared" si="29"/>
        <v>0.68994382259548614</v>
      </c>
      <c r="K105" s="1170">
        <f t="shared" si="29"/>
        <v>0.68994382259548614</v>
      </c>
      <c r="L105" s="1170">
        <f t="shared" si="29"/>
        <v>0.68994382259548614</v>
      </c>
      <c r="M105" s="1170">
        <f t="shared" si="29"/>
        <v>0.68994382259548614</v>
      </c>
      <c r="N105" s="1170">
        <f t="shared" si="29"/>
        <v>0.68994382259548614</v>
      </c>
      <c r="P105" s="1165"/>
      <c r="R105" s="1169"/>
      <c r="S105" s="1169"/>
      <c r="T105" s="1169"/>
      <c r="U105" s="1169"/>
    </row>
    <row r="106" spans="1:21" s="1162" customFormat="1">
      <c r="C106" s="1163"/>
      <c r="D106" s="1163"/>
      <c r="P106" s="1165"/>
      <c r="R106" s="1169"/>
      <c r="S106" s="1169"/>
      <c r="T106" s="1169"/>
      <c r="U106" s="1169"/>
    </row>
    <row r="107" spans="1:21" s="867" customFormat="1">
      <c r="A107" s="867" t="str">
        <f>nmProd3Seg1</f>
        <v>Personal Computing Enterprise</v>
      </c>
      <c r="C107" s="1073"/>
      <c r="D107" s="1079"/>
      <c r="P107" s="868"/>
      <c r="R107" s="869"/>
      <c r="S107" s="869"/>
      <c r="T107" s="869"/>
      <c r="U107" s="869"/>
    </row>
    <row r="108" spans="1:21" s="1162" customFormat="1">
      <c r="C108" s="1163"/>
      <c r="D108" s="1164"/>
      <c r="P108" s="1165"/>
    </row>
    <row r="109" spans="1:21" s="1162" customFormat="1">
      <c r="B109" s="1166" t="s">
        <v>221</v>
      </c>
      <c r="C109" s="1163"/>
      <c r="D109" s="1164"/>
      <c r="P109" s="1165"/>
    </row>
    <row r="110" spans="1:21" s="1162" customFormat="1">
      <c r="B110" s="1165"/>
      <c r="C110" s="1163"/>
      <c r="D110" s="1163"/>
      <c r="E110" s="1162" t="str">
        <f t="shared" ref="E110:N110" si="30">decTeamName</f>
        <v>Nimbolt</v>
      </c>
      <c r="F110" s="1162" t="str">
        <f t="shared" si="30"/>
        <v>Nimbolt</v>
      </c>
      <c r="G110" s="1162" t="str">
        <f t="shared" si="30"/>
        <v>Nimbolt</v>
      </c>
      <c r="H110" s="1162" t="str">
        <f t="shared" si="30"/>
        <v>Nimbolt</v>
      </c>
      <c r="I110" s="1162" t="str">
        <f t="shared" si="30"/>
        <v>Nimbolt</v>
      </c>
      <c r="J110" s="1162" t="str">
        <f t="shared" si="30"/>
        <v>Nimbolt</v>
      </c>
      <c r="K110" s="1162" t="str">
        <f t="shared" si="30"/>
        <v>Nimbolt</v>
      </c>
      <c r="L110" s="1162" t="str">
        <f t="shared" si="30"/>
        <v>Nimbolt</v>
      </c>
      <c r="M110" s="1162" t="str">
        <f t="shared" si="30"/>
        <v>Nimbolt</v>
      </c>
      <c r="N110" s="1162" t="str">
        <f t="shared" si="30"/>
        <v>Nimbolt</v>
      </c>
      <c r="O110" s="1162" t="s">
        <v>749</v>
      </c>
      <c r="P110" s="1165"/>
    </row>
    <row r="111" spans="1:21" s="1162" customFormat="1">
      <c r="B111" s="1167" t="s">
        <v>776</v>
      </c>
      <c r="C111" s="1163"/>
      <c r="D111" s="1163"/>
      <c r="E111" s="1168"/>
      <c r="F111" s="1168"/>
      <c r="G111" s="1168"/>
      <c r="H111" s="1168"/>
      <c r="I111" s="1168"/>
      <c r="J111" s="1168"/>
      <c r="K111" s="1168"/>
      <c r="L111" s="1168"/>
      <c r="M111" s="1168"/>
      <c r="N111" s="1168"/>
      <c r="O111" s="1168"/>
      <c r="P111" s="1165" t="s">
        <v>3002</v>
      </c>
      <c r="R111" s="1169"/>
      <c r="S111" s="1169"/>
      <c r="T111" s="1169"/>
      <c r="U111" s="1169"/>
    </row>
    <row r="112" spans="1:21" s="1162" customFormat="1">
      <c r="B112" s="1167" t="s">
        <v>1535</v>
      </c>
      <c r="C112" s="1163"/>
      <c r="D112" s="1163"/>
      <c r="E112" s="1170">
        <f t="shared" ref="E112:N112" si="31">cbalOpsProd3Seg1Share*CalibrateBalancing</f>
        <v>9.0000000000000011E-2</v>
      </c>
      <c r="F112" s="1170">
        <f t="shared" si="31"/>
        <v>9.0000000000000011E-2</v>
      </c>
      <c r="G112" s="1170">
        <f t="shared" si="31"/>
        <v>9.0000000000000011E-2</v>
      </c>
      <c r="H112" s="1170">
        <f t="shared" si="31"/>
        <v>9.0000000000000011E-2</v>
      </c>
      <c r="I112" s="1170">
        <f t="shared" si="31"/>
        <v>9.0000000000000011E-2</v>
      </c>
      <c r="J112" s="1170">
        <f t="shared" si="31"/>
        <v>9.0000000000000011E-2</v>
      </c>
      <c r="K112" s="1170">
        <f t="shared" si="31"/>
        <v>9.0000000000000011E-2</v>
      </c>
      <c r="L112" s="1170">
        <f t="shared" si="31"/>
        <v>9.0000000000000011E-2</v>
      </c>
      <c r="M112" s="1170">
        <f t="shared" si="31"/>
        <v>9.0000000000000011E-2</v>
      </c>
      <c r="N112" s="1170">
        <f t="shared" si="31"/>
        <v>9.0000000000000011E-2</v>
      </c>
      <c r="O112" s="1170" t="e">
        <f>INDEX(mmProd3Seg1EndingShare,11)</f>
        <v>#NAME?</v>
      </c>
      <c r="P112" s="1165"/>
      <c r="R112" s="1169"/>
      <c r="S112" s="1169"/>
      <c r="T112" s="1169"/>
      <c r="U112" s="1169"/>
    </row>
    <row r="113" spans="1:21" s="1162" customFormat="1">
      <c r="C113" s="1163"/>
      <c r="D113" s="1163"/>
      <c r="P113" s="1165"/>
      <c r="R113" s="1169"/>
      <c r="S113" s="1169"/>
      <c r="T113" s="1169"/>
      <c r="U113" s="1169"/>
    </row>
    <row r="114" spans="1:21" s="867" customFormat="1">
      <c r="A114" s="867" t="str">
        <f>nmProd3Seg2</f>
        <v>Personal Computing SMC</v>
      </c>
      <c r="C114" s="1073"/>
      <c r="D114" s="1079"/>
      <c r="P114" s="868"/>
      <c r="R114" s="869"/>
      <c r="S114" s="869"/>
      <c r="T114" s="869"/>
      <c r="U114" s="869"/>
    </row>
    <row r="115" spans="1:21" s="1162" customFormat="1">
      <c r="C115" s="1163"/>
      <c r="D115" s="1164"/>
      <c r="P115" s="1165"/>
    </row>
    <row r="116" spans="1:21" s="1162" customFormat="1">
      <c r="B116" s="1166" t="s">
        <v>221</v>
      </c>
      <c r="C116" s="1163"/>
      <c r="D116" s="1164"/>
      <c r="P116" s="1165"/>
    </row>
    <row r="117" spans="1:21" s="1162" customFormat="1">
      <c r="B117" s="1165"/>
      <c r="C117" s="1163"/>
      <c r="D117" s="1163"/>
      <c r="E117" s="1162" t="str">
        <f t="shared" ref="E117:N117" si="32">decTeamName</f>
        <v>Nimbolt</v>
      </c>
      <c r="F117" s="1162" t="str">
        <f t="shared" si="32"/>
        <v>Nimbolt</v>
      </c>
      <c r="G117" s="1162" t="str">
        <f t="shared" si="32"/>
        <v>Nimbolt</v>
      </c>
      <c r="H117" s="1162" t="str">
        <f t="shared" si="32"/>
        <v>Nimbolt</v>
      </c>
      <c r="I117" s="1162" t="str">
        <f t="shared" si="32"/>
        <v>Nimbolt</v>
      </c>
      <c r="J117" s="1162" t="str">
        <f t="shared" si="32"/>
        <v>Nimbolt</v>
      </c>
      <c r="K117" s="1162" t="str">
        <f t="shared" si="32"/>
        <v>Nimbolt</v>
      </c>
      <c r="L117" s="1162" t="str">
        <f t="shared" si="32"/>
        <v>Nimbolt</v>
      </c>
      <c r="M117" s="1162" t="str">
        <f t="shared" si="32"/>
        <v>Nimbolt</v>
      </c>
      <c r="N117" s="1162" t="str">
        <f t="shared" si="32"/>
        <v>Nimbolt</v>
      </c>
      <c r="O117" s="1162" t="s">
        <v>749</v>
      </c>
      <c r="P117" s="1165"/>
    </row>
    <row r="118" spans="1:21" s="1162" customFormat="1">
      <c r="B118" s="1167" t="s">
        <v>776</v>
      </c>
      <c r="C118" s="1163"/>
      <c r="D118" s="1163"/>
      <c r="E118" s="1168"/>
      <c r="F118" s="1168"/>
      <c r="G118" s="1168"/>
      <c r="H118" s="1168"/>
      <c r="I118" s="1168"/>
      <c r="J118" s="1168"/>
      <c r="K118" s="1168"/>
      <c r="L118" s="1168"/>
      <c r="M118" s="1168"/>
      <c r="N118" s="1168"/>
      <c r="O118" s="1168"/>
      <c r="P118" s="1165" t="s">
        <v>3003</v>
      </c>
      <c r="R118" s="1169"/>
      <c r="S118" s="1169"/>
      <c r="T118" s="1169"/>
      <c r="U118" s="1169"/>
    </row>
    <row r="119" spans="1:21" s="1162" customFormat="1">
      <c r="B119" s="1167" t="s">
        <v>1535</v>
      </c>
      <c r="C119" s="1163"/>
      <c r="D119" s="1163"/>
      <c r="E119" s="1170">
        <f t="shared" ref="E119:N119" si="33">cbalOpsProd3Seg2Share*CalibrateBalancing</f>
        <v>9.0000000000000011E-2</v>
      </c>
      <c r="F119" s="1170">
        <f t="shared" si="33"/>
        <v>9.0000000000000011E-2</v>
      </c>
      <c r="G119" s="1170">
        <f t="shared" si="33"/>
        <v>9.0000000000000011E-2</v>
      </c>
      <c r="H119" s="1170">
        <f t="shared" si="33"/>
        <v>9.0000000000000011E-2</v>
      </c>
      <c r="I119" s="1170">
        <f t="shared" si="33"/>
        <v>9.0000000000000011E-2</v>
      </c>
      <c r="J119" s="1170">
        <f t="shared" si="33"/>
        <v>9.0000000000000011E-2</v>
      </c>
      <c r="K119" s="1170">
        <f t="shared" si="33"/>
        <v>9.0000000000000011E-2</v>
      </c>
      <c r="L119" s="1170">
        <f t="shared" si="33"/>
        <v>9.0000000000000011E-2</v>
      </c>
      <c r="M119" s="1170">
        <f t="shared" si="33"/>
        <v>9.0000000000000011E-2</v>
      </c>
      <c r="N119" s="1170">
        <f t="shared" si="33"/>
        <v>9.0000000000000011E-2</v>
      </c>
      <c r="O119" s="1170" t="e">
        <f>INDEX(mmProd3Seg2EndingShare,11)</f>
        <v>#NAME?</v>
      </c>
      <c r="P119" s="1165"/>
      <c r="R119" s="1169"/>
      <c r="S119" s="1169"/>
      <c r="T119" s="1169"/>
      <c r="U119" s="1169"/>
    </row>
    <row r="120" spans="1:21" s="1162" customFormat="1">
      <c r="C120" s="1163"/>
      <c r="D120" s="1163"/>
      <c r="P120" s="1165"/>
      <c r="R120" s="1169"/>
      <c r="S120" s="1169"/>
      <c r="T120" s="1169"/>
      <c r="U120" s="1169"/>
    </row>
    <row r="121" spans="1:21" s="867" customFormat="1">
      <c r="A121" s="867" t="str">
        <f>nmProd3Seg3</f>
        <v>Personal Computing Consumer</v>
      </c>
      <c r="C121" s="1073"/>
      <c r="D121" s="1079"/>
      <c r="P121" s="868"/>
      <c r="R121" s="869"/>
      <c r="S121" s="869"/>
      <c r="T121" s="869"/>
      <c r="U121" s="869"/>
    </row>
    <row r="122" spans="1:21" s="1162" customFormat="1">
      <c r="C122" s="1163"/>
      <c r="D122" s="1164"/>
      <c r="P122" s="1165"/>
    </row>
    <row r="123" spans="1:21" s="1162" customFormat="1">
      <c r="B123" s="1166" t="s">
        <v>221</v>
      </c>
      <c r="C123" s="1163"/>
      <c r="D123" s="1164"/>
      <c r="P123" s="1165"/>
    </row>
    <row r="124" spans="1:21" s="1162" customFormat="1">
      <c r="B124" s="1165"/>
      <c r="C124" s="1163"/>
      <c r="D124" s="1163"/>
      <c r="E124" s="1162" t="str">
        <f t="shared" ref="E124:N124" si="34">decTeamName</f>
        <v>Nimbolt</v>
      </c>
      <c r="F124" s="1162" t="str">
        <f t="shared" si="34"/>
        <v>Nimbolt</v>
      </c>
      <c r="G124" s="1162" t="str">
        <f t="shared" si="34"/>
        <v>Nimbolt</v>
      </c>
      <c r="H124" s="1162" t="str">
        <f t="shared" si="34"/>
        <v>Nimbolt</v>
      </c>
      <c r="I124" s="1162" t="str">
        <f t="shared" si="34"/>
        <v>Nimbolt</v>
      </c>
      <c r="J124" s="1162" t="str">
        <f t="shared" si="34"/>
        <v>Nimbolt</v>
      </c>
      <c r="K124" s="1162" t="str">
        <f t="shared" si="34"/>
        <v>Nimbolt</v>
      </c>
      <c r="L124" s="1162" t="str">
        <f t="shared" si="34"/>
        <v>Nimbolt</v>
      </c>
      <c r="M124" s="1162" t="str">
        <f t="shared" si="34"/>
        <v>Nimbolt</v>
      </c>
      <c r="N124" s="1162" t="str">
        <f t="shared" si="34"/>
        <v>Nimbolt</v>
      </c>
      <c r="O124" s="1162" t="s">
        <v>749</v>
      </c>
      <c r="P124" s="1165"/>
    </row>
    <row r="125" spans="1:21" s="1162" customFormat="1">
      <c r="B125" s="1167" t="s">
        <v>776</v>
      </c>
      <c r="C125" s="1163"/>
      <c r="D125" s="1163"/>
      <c r="E125" s="1168"/>
      <c r="F125" s="1168"/>
      <c r="G125" s="1168"/>
      <c r="H125" s="1168"/>
      <c r="I125" s="1168"/>
      <c r="J125" s="1168"/>
      <c r="K125" s="1168"/>
      <c r="L125" s="1168"/>
      <c r="M125" s="1168"/>
      <c r="N125" s="1168"/>
      <c r="O125" s="1168"/>
      <c r="P125" s="1165" t="s">
        <v>2910</v>
      </c>
      <c r="R125" s="1169"/>
      <c r="S125" s="1169"/>
      <c r="T125" s="1169"/>
      <c r="U125" s="1169"/>
    </row>
    <row r="126" spans="1:21" s="1162" customFormat="1">
      <c r="B126" s="1167" t="s">
        <v>1535</v>
      </c>
      <c r="C126" s="1163"/>
      <c r="D126" s="1163"/>
      <c r="E126" s="1170">
        <f t="shared" ref="E126:N126" si="35">cbalOpsProd3Seg3Share*CalibrateBalancing</f>
        <v>9.0000000000000011E-2</v>
      </c>
      <c r="F126" s="1170">
        <f t="shared" si="35"/>
        <v>9.0000000000000011E-2</v>
      </c>
      <c r="G126" s="1170">
        <f t="shared" si="35"/>
        <v>9.0000000000000011E-2</v>
      </c>
      <c r="H126" s="1170">
        <f t="shared" si="35"/>
        <v>9.0000000000000011E-2</v>
      </c>
      <c r="I126" s="1170">
        <f t="shared" si="35"/>
        <v>9.0000000000000011E-2</v>
      </c>
      <c r="J126" s="1170">
        <f t="shared" si="35"/>
        <v>9.0000000000000011E-2</v>
      </c>
      <c r="K126" s="1170">
        <f t="shared" si="35"/>
        <v>9.0000000000000011E-2</v>
      </c>
      <c r="L126" s="1170">
        <f t="shared" si="35"/>
        <v>9.0000000000000011E-2</v>
      </c>
      <c r="M126" s="1170">
        <f t="shared" si="35"/>
        <v>9.0000000000000011E-2</v>
      </c>
      <c r="N126" s="1170">
        <f t="shared" si="35"/>
        <v>9.0000000000000011E-2</v>
      </c>
      <c r="O126" s="1170" t="e">
        <f>INDEX(mmProd3Seg3EndingShare,11)</f>
        <v>#NAME?</v>
      </c>
      <c r="P126" s="1165"/>
      <c r="R126" s="1169"/>
      <c r="S126" s="1169"/>
      <c r="T126" s="1169"/>
      <c r="U126" s="1169"/>
    </row>
    <row r="127" spans="1:21" s="1162" customFormat="1">
      <c r="C127" s="1163"/>
      <c r="D127" s="1163"/>
      <c r="P127" s="1165"/>
      <c r="R127" s="1169"/>
      <c r="S127" s="1169"/>
      <c r="T127" s="1169"/>
      <c r="U127" s="1169"/>
    </row>
    <row r="128" spans="1:21" s="867" customFormat="1">
      <c r="A128" s="867" t="s">
        <v>2665</v>
      </c>
      <c r="C128" s="1073"/>
      <c r="D128" s="1079"/>
      <c r="P128" s="868"/>
      <c r="R128" s="869"/>
      <c r="S128" s="869"/>
      <c r="T128" s="869"/>
      <c r="U128" s="869"/>
    </row>
    <row r="130" spans="1:21" s="1162" customFormat="1">
      <c r="B130" s="1165"/>
      <c r="C130" s="1163"/>
      <c r="D130" s="1163"/>
      <c r="E130" s="1162" t="str">
        <f t="shared" ref="E130:N130" si="36">decTeamName</f>
        <v>Nimbolt</v>
      </c>
      <c r="F130" s="1162" t="str">
        <f t="shared" si="36"/>
        <v>Nimbolt</v>
      </c>
      <c r="G130" s="1162" t="str">
        <f t="shared" si="36"/>
        <v>Nimbolt</v>
      </c>
      <c r="H130" s="1162" t="str">
        <f t="shared" si="36"/>
        <v>Nimbolt</v>
      </c>
      <c r="I130" s="1162" t="str">
        <f t="shared" si="36"/>
        <v>Nimbolt</v>
      </c>
      <c r="J130" s="1162" t="str">
        <f t="shared" si="36"/>
        <v>Nimbolt</v>
      </c>
      <c r="K130" s="1162" t="str">
        <f t="shared" si="36"/>
        <v>Nimbolt</v>
      </c>
      <c r="L130" s="1162" t="str">
        <f t="shared" si="36"/>
        <v>Nimbolt</v>
      </c>
      <c r="M130" s="1162" t="str">
        <f t="shared" si="36"/>
        <v>Nimbolt</v>
      </c>
      <c r="N130" s="1162" t="str">
        <f t="shared" si="36"/>
        <v>Nimbolt</v>
      </c>
      <c r="O130" s="272"/>
      <c r="P130" s="1165"/>
    </row>
    <row r="131" spans="1:21" s="1162" customFormat="1">
      <c r="B131" s="1167" t="s">
        <v>3004</v>
      </c>
      <c r="C131" s="1163"/>
      <c r="D131" s="1163"/>
      <c r="E131" s="1171">
        <v>79.75</v>
      </c>
      <c r="F131" s="1171">
        <v>79.75</v>
      </c>
      <c r="G131" s="1171">
        <v>79.75</v>
      </c>
      <c r="H131" s="1171">
        <v>79.75</v>
      </c>
      <c r="I131" s="1171">
        <v>79.75</v>
      </c>
      <c r="J131" s="1171">
        <v>79.75</v>
      </c>
      <c r="K131" s="1171">
        <v>79.75</v>
      </c>
      <c r="L131" s="1171">
        <v>79.75</v>
      </c>
      <c r="M131" s="1171">
        <v>79.75</v>
      </c>
      <c r="N131" s="1171">
        <v>79.75</v>
      </c>
      <c r="O131" s="272"/>
      <c r="P131" s="1165"/>
    </row>
    <row r="132" spans="1:21" s="1162" customFormat="1">
      <c r="B132" s="1167" t="s">
        <v>776</v>
      </c>
      <c r="C132" s="1163"/>
      <c r="D132" s="1163"/>
      <c r="E132" s="1172"/>
      <c r="F132" s="1172"/>
      <c r="G132" s="1172"/>
      <c r="H132" s="1172"/>
      <c r="I132" s="1172"/>
      <c r="J132" s="1172"/>
      <c r="K132" s="1172"/>
      <c r="L132" s="1172"/>
      <c r="M132" s="1172"/>
      <c r="N132" s="1172"/>
      <c r="O132" s="1165" t="s">
        <v>3005</v>
      </c>
      <c r="P132" s="1165"/>
      <c r="R132" s="1169"/>
      <c r="S132" s="1169"/>
      <c r="T132" s="1169"/>
      <c r="U132" s="1169"/>
    </row>
    <row r="133" spans="1:21" s="1162" customFormat="1">
      <c r="B133" s="1167" t="s">
        <v>423</v>
      </c>
      <c r="C133" s="1163"/>
      <c r="D133" s="1163"/>
      <c r="E133" s="1173">
        <f t="shared" ref="E133:N133" si="37">cbalCPE</f>
        <v>78.678750000000008</v>
      </c>
      <c r="F133" s="1173">
        <f t="shared" si="37"/>
        <v>78.678750000000008</v>
      </c>
      <c r="G133" s="1173">
        <f t="shared" si="37"/>
        <v>78.678750000000008</v>
      </c>
      <c r="H133" s="1173">
        <f t="shared" si="37"/>
        <v>78.678750000000008</v>
      </c>
      <c r="I133" s="1173">
        <f t="shared" si="37"/>
        <v>78.678750000000008</v>
      </c>
      <c r="J133" s="1173">
        <f t="shared" si="37"/>
        <v>78.678750000000008</v>
      </c>
      <c r="K133" s="1173">
        <f t="shared" si="37"/>
        <v>78.678750000000008</v>
      </c>
      <c r="L133" s="1173">
        <f t="shared" si="37"/>
        <v>78.678750000000008</v>
      </c>
      <c r="M133" s="1173">
        <f t="shared" si="37"/>
        <v>78.678750000000008</v>
      </c>
      <c r="N133" s="1173">
        <f t="shared" si="37"/>
        <v>78.678750000000008</v>
      </c>
      <c r="O133" s="272"/>
      <c r="P133" s="1165"/>
      <c r="R133" s="1169"/>
      <c r="S133" s="1169"/>
      <c r="T133" s="1169"/>
      <c r="U133" s="1169"/>
    </row>
    <row r="134" spans="1:21" s="1162" customFormat="1">
      <c r="C134" s="1163"/>
      <c r="D134" s="1163"/>
      <c r="E134" s="1216"/>
      <c r="F134" s="1216"/>
      <c r="G134" s="1216"/>
      <c r="H134" s="1216"/>
      <c r="I134" s="1216"/>
      <c r="P134" s="1165"/>
      <c r="R134" s="1169"/>
      <c r="S134" s="1169"/>
      <c r="T134" s="1169"/>
      <c r="U134" s="1169"/>
    </row>
    <row r="135" spans="1:21" s="867" customFormat="1">
      <c r="A135" s="867" t="s">
        <v>1000</v>
      </c>
      <c r="C135" s="1073"/>
      <c r="D135" s="1079"/>
      <c r="P135" s="868"/>
      <c r="R135" s="869"/>
      <c r="S135" s="869"/>
      <c r="T135" s="869"/>
      <c r="U135" s="869"/>
    </row>
    <row r="137" spans="1:21" s="1162" customFormat="1">
      <c r="B137" s="1165"/>
      <c r="C137" s="1163"/>
      <c r="D137" s="1163"/>
      <c r="E137" s="1162" t="str">
        <f t="shared" ref="E137:N137" si="38">decTeamName</f>
        <v>Nimbolt</v>
      </c>
      <c r="F137" s="1162" t="str">
        <f t="shared" si="38"/>
        <v>Nimbolt</v>
      </c>
      <c r="G137" s="1162" t="str">
        <f t="shared" si="38"/>
        <v>Nimbolt</v>
      </c>
      <c r="H137" s="1162" t="str">
        <f t="shared" si="38"/>
        <v>Nimbolt</v>
      </c>
      <c r="I137" s="1162" t="str">
        <f t="shared" si="38"/>
        <v>Nimbolt</v>
      </c>
      <c r="J137" s="1162" t="str">
        <f t="shared" si="38"/>
        <v>Nimbolt</v>
      </c>
      <c r="K137" s="1162" t="str">
        <f t="shared" si="38"/>
        <v>Nimbolt</v>
      </c>
      <c r="L137" s="1162" t="str">
        <f t="shared" si="38"/>
        <v>Nimbolt</v>
      </c>
      <c r="M137" s="1162" t="str">
        <f t="shared" si="38"/>
        <v>Nimbolt</v>
      </c>
      <c r="N137" s="1162" t="str">
        <f t="shared" si="38"/>
        <v>Nimbolt</v>
      </c>
      <c r="O137" s="272"/>
      <c r="P137" s="1165"/>
    </row>
    <row r="138" spans="1:21" s="1162" customFormat="1">
      <c r="B138" s="1167" t="s">
        <v>3004</v>
      </c>
      <c r="C138" s="1163"/>
      <c r="D138" s="1163"/>
      <c r="E138" s="1174">
        <v>0.67949999999999999</v>
      </c>
      <c r="F138" s="1174">
        <v>0.67949999999999999</v>
      </c>
      <c r="G138" s="1174">
        <v>0.67949999999999999</v>
      </c>
      <c r="H138" s="1174">
        <v>0.67949999999999999</v>
      </c>
      <c r="I138" s="1174">
        <v>0.67949999999999999</v>
      </c>
      <c r="J138" s="1174">
        <v>0.67949999999999999</v>
      </c>
      <c r="K138" s="1174">
        <v>0.67949999999999999</v>
      </c>
      <c r="L138" s="1174">
        <v>0.67949999999999999</v>
      </c>
      <c r="M138" s="1174">
        <v>0.67949999999999999</v>
      </c>
      <c r="N138" s="1174">
        <v>0.67949999999999999</v>
      </c>
      <c r="O138" s="272"/>
      <c r="P138" s="1165"/>
    </row>
    <row r="139" spans="1:21" s="1162" customFormat="1">
      <c r="B139" s="1167" t="s">
        <v>776</v>
      </c>
      <c r="C139" s="1163"/>
      <c r="D139" s="1163"/>
      <c r="E139" s="1175"/>
      <c r="F139" s="1175"/>
      <c r="G139" s="1175"/>
      <c r="H139" s="1175"/>
      <c r="I139" s="1175"/>
      <c r="J139" s="1175"/>
      <c r="K139" s="1175"/>
      <c r="L139" s="1175"/>
      <c r="M139" s="1175"/>
      <c r="N139" s="1175"/>
      <c r="O139" s="1165" t="s">
        <v>3006</v>
      </c>
      <c r="P139" s="1165"/>
      <c r="R139" s="1169"/>
      <c r="S139" s="1169"/>
      <c r="T139" s="1169"/>
      <c r="U139" s="1169"/>
    </row>
    <row r="140" spans="1:21" s="1162" customFormat="1">
      <c r="B140" s="1167" t="s">
        <v>423</v>
      </c>
      <c r="C140" s="1163"/>
      <c r="D140" s="1163"/>
      <c r="E140" s="1170">
        <f t="shared" ref="E140:N140" ca="1" si="39">cbalExecution</f>
        <v>0.68185499999999999</v>
      </c>
      <c r="F140" s="1170">
        <f t="shared" ca="1" si="39"/>
        <v>0.68185499999999999</v>
      </c>
      <c r="G140" s="1170">
        <f t="shared" ca="1" si="39"/>
        <v>0.68185499999999999</v>
      </c>
      <c r="H140" s="1170">
        <f t="shared" ca="1" si="39"/>
        <v>0.68185499999999999</v>
      </c>
      <c r="I140" s="1170">
        <f t="shared" ca="1" si="39"/>
        <v>0.68185499999999999</v>
      </c>
      <c r="J140" s="1170">
        <f t="shared" ca="1" si="39"/>
        <v>0.68185499999999999</v>
      </c>
      <c r="K140" s="1170">
        <f t="shared" ca="1" si="39"/>
        <v>0.68185499999999999</v>
      </c>
      <c r="L140" s="1170">
        <f t="shared" ca="1" si="39"/>
        <v>0.68185499999999999</v>
      </c>
      <c r="M140" s="1170">
        <f t="shared" ca="1" si="39"/>
        <v>0.68185499999999999</v>
      </c>
      <c r="N140" s="1170">
        <f t="shared" ca="1" si="39"/>
        <v>0.68185499999999999</v>
      </c>
      <c r="O140" s="272"/>
      <c r="P140" s="1165"/>
      <c r="R140" s="1169"/>
      <c r="S140" s="1169"/>
      <c r="T140" s="1169"/>
      <c r="U140" s="1169"/>
    </row>
    <row r="141" spans="1:21" s="1162" customFormat="1">
      <c r="C141" s="1163"/>
      <c r="D141" s="1163"/>
      <c r="P141" s="1165"/>
      <c r="R141" s="1169"/>
      <c r="S141" s="1169"/>
      <c r="T141" s="1169"/>
      <c r="U141" s="1169"/>
    </row>
    <row r="142" spans="1:21" s="867" customFormat="1">
      <c r="A142" s="867" t="s">
        <v>394</v>
      </c>
      <c r="C142" s="1073"/>
      <c r="D142" s="1079"/>
      <c r="P142" s="868"/>
      <c r="R142" s="869"/>
      <c r="S142" s="869"/>
      <c r="T142" s="869"/>
      <c r="U142" s="869"/>
    </row>
    <row r="144" spans="1:21" s="1162" customFormat="1">
      <c r="B144" s="1165"/>
      <c r="C144" s="1163"/>
      <c r="D144" s="1163"/>
      <c r="E144" s="1162" t="str">
        <f t="shared" ref="E144:N144" si="40">decTeamName</f>
        <v>Nimbolt</v>
      </c>
      <c r="F144" s="1162" t="str">
        <f t="shared" si="40"/>
        <v>Nimbolt</v>
      </c>
      <c r="G144" s="1162" t="str">
        <f t="shared" si="40"/>
        <v>Nimbolt</v>
      </c>
      <c r="H144" s="1162" t="str">
        <f t="shared" si="40"/>
        <v>Nimbolt</v>
      </c>
      <c r="I144" s="1162" t="str">
        <f t="shared" si="40"/>
        <v>Nimbolt</v>
      </c>
      <c r="J144" s="1162" t="str">
        <f t="shared" si="40"/>
        <v>Nimbolt</v>
      </c>
      <c r="K144" s="1162" t="str">
        <f t="shared" si="40"/>
        <v>Nimbolt</v>
      </c>
      <c r="L144" s="1162" t="str">
        <f t="shared" si="40"/>
        <v>Nimbolt</v>
      </c>
      <c r="M144" s="1162" t="str">
        <f t="shared" si="40"/>
        <v>Nimbolt</v>
      </c>
      <c r="N144" s="1162" t="str">
        <f t="shared" si="40"/>
        <v>Nimbolt</v>
      </c>
      <c r="O144" s="272"/>
      <c r="P144" s="1165"/>
    </row>
    <row r="145" spans="2:21" s="1162" customFormat="1">
      <c r="B145" s="1167" t="s">
        <v>3004</v>
      </c>
      <c r="C145" s="1163"/>
      <c r="D145" s="1163"/>
      <c r="E145" s="1176">
        <v>80</v>
      </c>
      <c r="F145" s="1176">
        <v>80</v>
      </c>
      <c r="G145" s="1176">
        <v>80</v>
      </c>
      <c r="H145" s="1176">
        <v>80</v>
      </c>
      <c r="I145" s="1176">
        <v>80</v>
      </c>
      <c r="J145" s="1176">
        <v>80</v>
      </c>
      <c r="K145" s="1176">
        <v>80</v>
      </c>
      <c r="L145" s="1176">
        <v>80</v>
      </c>
      <c r="M145" s="1176">
        <v>80</v>
      </c>
      <c r="N145" s="1176">
        <v>80</v>
      </c>
      <c r="O145" s="272"/>
      <c r="P145" s="1165"/>
    </row>
    <row r="146" spans="2:21" s="1162" customFormat="1">
      <c r="B146" s="1167" t="s">
        <v>776</v>
      </c>
      <c r="C146" s="1163"/>
      <c r="D146" s="1163"/>
      <c r="E146" s="1175"/>
      <c r="F146" s="1175"/>
      <c r="G146" s="1175"/>
      <c r="H146" s="1172"/>
      <c r="I146" s="1175"/>
      <c r="J146" s="1175"/>
      <c r="K146" s="1175"/>
      <c r="L146" s="1175"/>
      <c r="M146" s="1175"/>
      <c r="N146" s="1175"/>
      <c r="O146" s="1165" t="s">
        <v>3007</v>
      </c>
      <c r="P146" s="1165"/>
      <c r="R146" s="1169"/>
      <c r="S146" s="1169"/>
      <c r="T146" s="1169"/>
      <c r="U146" s="1169"/>
    </row>
    <row r="147" spans="2:21" s="1162" customFormat="1">
      <c r="B147" s="1167" t="s">
        <v>423</v>
      </c>
      <c r="C147" s="1163"/>
      <c r="D147" s="1163"/>
      <c r="E147" s="1177">
        <f t="shared" ref="E147:N147" ca="1" si="41">cbalWHI</f>
        <v>79.546374999999998</v>
      </c>
      <c r="F147" s="1177">
        <f t="shared" ca="1" si="41"/>
        <v>79.546374999999998</v>
      </c>
      <c r="G147" s="1177">
        <f t="shared" ca="1" si="41"/>
        <v>79.546374999999998</v>
      </c>
      <c r="H147" s="1177">
        <f t="shared" ca="1" si="41"/>
        <v>79.546374999999998</v>
      </c>
      <c r="I147" s="1177">
        <f t="shared" ca="1" si="41"/>
        <v>79.546374999999998</v>
      </c>
      <c r="J147" s="1177">
        <f t="shared" ca="1" si="41"/>
        <v>79.546374999999998</v>
      </c>
      <c r="K147" s="1177">
        <f t="shared" ca="1" si="41"/>
        <v>79.546374999999998</v>
      </c>
      <c r="L147" s="1177">
        <f t="shared" ca="1" si="41"/>
        <v>79.546374999999998</v>
      </c>
      <c r="M147" s="1177">
        <f t="shared" ca="1" si="41"/>
        <v>79.546374999999998</v>
      </c>
      <c r="N147" s="1177">
        <f t="shared" ca="1" si="41"/>
        <v>79.546374999999998</v>
      </c>
      <c r="O147" s="272"/>
      <c r="P147" s="1165"/>
      <c r="R147" s="1169"/>
      <c r="S147" s="1169"/>
      <c r="T147" s="1169"/>
      <c r="U147" s="1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I61"/>
  <sheetViews>
    <sheetView workbookViewId="0">
      <selection activeCell="D19" sqref="D19"/>
    </sheetView>
  </sheetViews>
  <sheetFormatPr defaultRowHeight="13.8"/>
  <cols>
    <col min="1" max="3" width="4.7265625" customWidth="1"/>
    <col min="4" max="4" width="18.7265625" customWidth="1"/>
  </cols>
  <sheetData>
    <row r="1" spans="1:8" s="11" customFormat="1">
      <c r="A1" s="11" t="s">
        <v>217</v>
      </c>
    </row>
    <row r="3" spans="1:8" s="41" customFormat="1">
      <c r="A3" s="41" t="s">
        <v>274</v>
      </c>
    </row>
    <row r="5" spans="1:8">
      <c r="D5" s="88" t="s">
        <v>376</v>
      </c>
      <c r="E5" t="s">
        <v>0</v>
      </c>
      <c r="H5" t="s">
        <v>1</v>
      </c>
    </row>
    <row r="7" spans="1:8">
      <c r="D7" s="88" t="s">
        <v>377</v>
      </c>
      <c r="E7" t="s">
        <v>176</v>
      </c>
      <c r="H7" t="s">
        <v>232</v>
      </c>
    </row>
    <row r="9" spans="1:8" s="41" customFormat="1">
      <c r="A9" s="41" t="s">
        <v>275</v>
      </c>
    </row>
    <row r="11" spans="1:8">
      <c r="D11" s="89">
        <v>1</v>
      </c>
      <c r="E11" t="s">
        <v>165</v>
      </c>
    </row>
    <row r="13" spans="1:8">
      <c r="D13" s="89">
        <v>10</v>
      </c>
      <c r="E13" t="s">
        <v>251</v>
      </c>
      <c r="H13" t="s">
        <v>250</v>
      </c>
    </row>
    <row r="15" spans="1:8" s="41" customFormat="1">
      <c r="A15" s="41" t="s">
        <v>273</v>
      </c>
    </row>
    <row r="17" spans="1:8">
      <c r="D17" s="91">
        <v>1</v>
      </c>
      <c r="E17" t="s">
        <v>43</v>
      </c>
    </row>
    <row r="19" spans="1:8">
      <c r="D19" s="91">
        <v>1</v>
      </c>
      <c r="E19" t="s">
        <v>123</v>
      </c>
    </row>
    <row r="21" spans="1:8">
      <c r="D21" s="91">
        <v>1</v>
      </c>
      <c r="E21" t="s">
        <v>124</v>
      </c>
    </row>
    <row r="23" spans="1:8">
      <c r="D23" s="91" t="s">
        <v>2979</v>
      </c>
      <c r="E23" t="s">
        <v>2687</v>
      </c>
    </row>
    <row r="25" spans="1:8">
      <c r="D25" s="91" t="b">
        <v>0</v>
      </c>
      <c r="E25" t="s">
        <v>2991</v>
      </c>
    </row>
    <row r="27" spans="1:8" s="41" customFormat="1">
      <c r="A27" s="41" t="s">
        <v>272</v>
      </c>
    </row>
    <row r="29" spans="1:8">
      <c r="D29" s="88" t="s">
        <v>181</v>
      </c>
      <c r="E29" t="s">
        <v>182</v>
      </c>
      <c r="H29" t="s">
        <v>183</v>
      </c>
    </row>
    <row r="30" spans="1:8">
      <c r="H30" t="s">
        <v>184</v>
      </c>
    </row>
    <row r="31" spans="1:8">
      <c r="D31" s="88" t="s">
        <v>3147</v>
      </c>
      <c r="E31" t="s">
        <v>271</v>
      </c>
    </row>
    <row r="33" spans="1:8">
      <c r="D33" s="88" t="s">
        <v>3146</v>
      </c>
      <c r="E33" t="s">
        <v>120</v>
      </c>
      <c r="H33" t="s">
        <v>219</v>
      </c>
    </row>
    <row r="35" spans="1:8">
      <c r="D35" s="88" t="s">
        <v>172</v>
      </c>
      <c r="E35" t="s">
        <v>173</v>
      </c>
    </row>
    <row r="37" spans="1:8">
      <c r="D37" s="88" t="s">
        <v>174</v>
      </c>
      <c r="E37" t="s">
        <v>175</v>
      </c>
    </row>
    <row r="39" spans="1:8" s="41" customFormat="1">
      <c r="A39" s="41" t="s">
        <v>276</v>
      </c>
    </row>
    <row r="41" spans="1:8">
      <c r="D41" s="90" t="str">
        <f>tlInputTeamName</f>
        <v>Nimbolt</v>
      </c>
      <c r="E41" t="s">
        <v>44</v>
      </c>
      <c r="H41" t="s">
        <v>89</v>
      </c>
    </row>
    <row r="43" spans="1:8">
      <c r="D43" s="90">
        <f>tlInputTeamNumber</f>
        <v>1</v>
      </c>
      <c r="E43" t="s">
        <v>88</v>
      </c>
      <c r="H43" t="s">
        <v>90</v>
      </c>
    </row>
    <row r="45" spans="1:8">
      <c r="D45" s="90">
        <f>xxRound</f>
        <v>1</v>
      </c>
      <c r="E45" t="s">
        <v>91</v>
      </c>
      <c r="H45" t="s">
        <v>92</v>
      </c>
    </row>
    <row r="47" spans="1:8">
      <c r="D47" s="90" t="str">
        <f>xxToolPrefix</f>
        <v>tlInput</v>
      </c>
      <c r="E47" t="s">
        <v>247</v>
      </c>
      <c r="H47" t="s">
        <v>2</v>
      </c>
    </row>
    <row r="48" spans="1:8">
      <c r="H48" t="s">
        <v>3</v>
      </c>
    </row>
    <row r="49" spans="2:9">
      <c r="H49" t="s">
        <v>277</v>
      </c>
    </row>
    <row r="51" spans="2:9">
      <c r="D51" s="12" t="str">
        <f>xxToolPrefix</f>
        <v>tlInput</v>
      </c>
      <c r="E51" t="s">
        <v>121</v>
      </c>
      <c r="H51" t="s">
        <v>218</v>
      </c>
    </row>
    <row r="52" spans="2:9">
      <c r="H52" t="s">
        <v>277</v>
      </c>
    </row>
    <row r="54" spans="2:9" s="16" customFormat="1" ht="21" customHeight="1">
      <c r="B54" s="641" t="s">
        <v>2814</v>
      </c>
      <c r="E54" s="17"/>
      <c r="F54" s="17"/>
      <c r="G54" s="17"/>
      <c r="H54" s="17"/>
      <c r="I54" s="17"/>
    </row>
    <row r="55" spans="2:9" s="738" customFormat="1" ht="12.6"/>
    <row r="56" spans="2:9" s="738" customFormat="1" ht="12.6">
      <c r="E56" s="738" t="s">
        <v>2815</v>
      </c>
    </row>
    <row r="57" spans="2:9" s="738" customFormat="1">
      <c r="I57" s="29"/>
    </row>
    <row r="58" spans="2:9" s="738" customFormat="1" ht="16.8">
      <c r="C58" s="738" t="s">
        <v>3036</v>
      </c>
      <c r="D58" s="841"/>
      <c r="E58" s="738" t="s">
        <v>3036</v>
      </c>
      <c r="I58" s="1200"/>
    </row>
    <row r="59" spans="2:9" s="738" customFormat="1">
      <c r="C59" s="738" t="s">
        <v>3037</v>
      </c>
      <c r="D59" s="841"/>
      <c r="E59" s="738" t="s">
        <v>3037</v>
      </c>
      <c r="G59" s="29"/>
    </row>
    <row r="60" spans="2:9" s="738" customFormat="1" ht="12.6">
      <c r="C60" s="738" t="s">
        <v>3038</v>
      </c>
      <c r="D60" s="841"/>
      <c r="E60" s="738" t="s">
        <v>3038</v>
      </c>
    </row>
    <row r="61" spans="2:9" s="738" customFormat="1" ht="12.6">
      <c r="C61" s="738" t="s">
        <v>3039</v>
      </c>
      <c r="D61" s="841"/>
      <c r="E61" s="738" t="s">
        <v>3039</v>
      </c>
    </row>
  </sheetData>
  <sheetProtection selectLockedCells="1" selectUnlockedCells="1"/>
  <dataValidations disablePrompts="1" count="1">
    <dataValidation type="list" allowBlank="1" showInputMessage="1" showErrorMessage="1" sqref="D23">
      <formula1>"UG,MBA"</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H58"/>
  <sheetViews>
    <sheetView topLeftCell="A19" workbookViewId="0">
      <selection activeCell="D46" sqref="D46"/>
    </sheetView>
  </sheetViews>
  <sheetFormatPr defaultRowHeight="13.8"/>
  <cols>
    <col min="1" max="1" width="8" customWidth="1"/>
    <col min="4" max="4" width="62.81640625" customWidth="1"/>
  </cols>
  <sheetData>
    <row r="1" spans="1:8" s="11" customFormat="1" ht="67.95" customHeight="1">
      <c r="A1" s="942" t="s">
        <v>3202</v>
      </c>
      <c r="B1" s="8"/>
      <c r="C1" s="31"/>
      <c r="D1" s="9"/>
      <c r="E1" s="9"/>
      <c r="F1" s="9"/>
      <c r="G1" s="9"/>
      <c r="H1" s="9"/>
    </row>
    <row r="2" spans="1:8">
      <c r="A2" s="5"/>
      <c r="B2" s="6"/>
      <c r="C2" s="32"/>
      <c r="D2" s="5"/>
      <c r="E2" s="5"/>
      <c r="F2" s="5"/>
      <c r="G2" s="5"/>
      <c r="H2" s="5"/>
    </row>
    <row r="3" spans="1:8" s="497" customFormat="1">
      <c r="A3" s="941"/>
      <c r="B3" s="941"/>
      <c r="C3" s="33"/>
      <c r="E3" s="940"/>
      <c r="F3" s="940"/>
      <c r="G3" s="940"/>
      <c r="H3" s="940"/>
    </row>
    <row r="4" spans="1:8" s="497" customFormat="1">
      <c r="A4" s="941"/>
      <c r="B4" s="941"/>
      <c r="C4" s="33" t="s">
        <v>2751</v>
      </c>
      <c r="D4" s="7">
        <v>1</v>
      </c>
      <c r="E4" s="940" t="s">
        <v>2750</v>
      </c>
      <c r="F4" s="940"/>
      <c r="G4" s="940"/>
      <c r="H4" s="940"/>
    </row>
    <row r="5" spans="1:8" s="497" customFormat="1">
      <c r="A5" s="941"/>
      <c r="B5" s="941"/>
      <c r="C5" s="33"/>
      <c r="E5" s="940"/>
      <c r="F5" s="940"/>
      <c r="G5" s="940"/>
      <c r="H5" s="940"/>
    </row>
    <row r="6" spans="1:8">
      <c r="A6" s="5"/>
      <c r="B6" s="6"/>
      <c r="C6" s="640" t="s">
        <v>2749</v>
      </c>
      <c r="D6" s="5"/>
      <c r="E6" s="5"/>
      <c r="F6" s="5"/>
      <c r="G6" s="5"/>
      <c r="H6" s="5"/>
    </row>
    <row r="7" spans="1:8">
      <c r="A7" s="5"/>
      <c r="B7" s="6"/>
      <c r="C7" s="32"/>
      <c r="D7" s="5"/>
      <c r="E7" s="5"/>
      <c r="F7" s="5"/>
      <c r="G7" s="5"/>
      <c r="H7" s="5"/>
    </row>
    <row r="8" spans="1:8">
      <c r="A8" s="5"/>
      <c r="B8" s="6"/>
      <c r="C8" s="32" t="s">
        <v>2748</v>
      </c>
      <c r="D8" s="939" t="s">
        <v>3161</v>
      </c>
      <c r="E8" s="5"/>
      <c r="F8" s="5"/>
      <c r="G8" s="5"/>
      <c r="H8" s="5"/>
    </row>
    <row r="9" spans="1:8">
      <c r="A9" s="5"/>
      <c r="B9" s="6"/>
      <c r="C9" s="32" t="s">
        <v>2747</v>
      </c>
      <c r="D9" s="939" t="s">
        <v>3162</v>
      </c>
      <c r="E9" s="5"/>
      <c r="F9" s="5"/>
      <c r="G9" s="5"/>
      <c r="H9" s="5"/>
    </row>
    <row r="10" spans="1:8">
      <c r="A10" s="5"/>
      <c r="B10" s="6"/>
      <c r="C10" s="32" t="s">
        <v>2746</v>
      </c>
      <c r="D10" s="939" t="s">
        <v>181</v>
      </c>
      <c r="E10" s="5"/>
      <c r="F10" s="5"/>
      <c r="G10" s="5"/>
      <c r="H10" s="5"/>
    </row>
    <row r="11" spans="1:8">
      <c r="A11" s="5"/>
      <c r="B11" s="6"/>
      <c r="C11" s="32" t="s">
        <v>2745</v>
      </c>
      <c r="D11" s="939" t="s">
        <v>2956</v>
      </c>
      <c r="E11" s="5"/>
      <c r="F11" s="5"/>
      <c r="G11" s="5"/>
      <c r="H11" s="5"/>
    </row>
    <row r="12" spans="1:8">
      <c r="A12" s="5"/>
      <c r="B12" s="6"/>
      <c r="C12" s="32" t="s">
        <v>2744</v>
      </c>
      <c r="D12" s="939" t="s">
        <v>2924</v>
      </c>
      <c r="E12" s="5"/>
      <c r="F12" s="5"/>
      <c r="G12" s="5"/>
      <c r="H12" s="5"/>
    </row>
    <row r="13" spans="1:8">
      <c r="A13" s="5"/>
      <c r="B13" s="6"/>
      <c r="C13" s="32" t="s">
        <v>2743</v>
      </c>
      <c r="D13" s="939" t="s">
        <v>3163</v>
      </c>
      <c r="E13" s="5"/>
      <c r="F13" s="5"/>
      <c r="G13" s="5"/>
      <c r="H13" s="5"/>
    </row>
    <row r="14" spans="1:8">
      <c r="A14" s="5"/>
      <c r="B14" s="6"/>
      <c r="C14" s="32" t="s">
        <v>2742</v>
      </c>
      <c r="D14" s="939" t="s">
        <v>172</v>
      </c>
      <c r="E14" s="5"/>
      <c r="F14" s="5"/>
      <c r="G14" s="5"/>
      <c r="H14" s="5"/>
    </row>
    <row r="15" spans="1:8">
      <c r="A15" s="5"/>
      <c r="B15" s="6"/>
      <c r="C15" s="32" t="s">
        <v>2741</v>
      </c>
      <c r="D15" s="939" t="s">
        <v>3179</v>
      </c>
      <c r="E15" s="5"/>
      <c r="F15" s="5"/>
      <c r="G15" s="5"/>
      <c r="H15" s="5"/>
    </row>
    <row r="16" spans="1:8">
      <c r="A16" s="5"/>
      <c r="B16" s="6"/>
      <c r="C16" s="32" t="s">
        <v>2740</v>
      </c>
      <c r="D16" s="939" t="s">
        <v>3180</v>
      </c>
      <c r="E16" s="5"/>
      <c r="F16" s="5"/>
      <c r="G16" s="5"/>
      <c r="H16" s="5"/>
    </row>
    <row r="17" spans="1:8">
      <c r="A17" s="5"/>
      <c r="B17" s="6"/>
      <c r="C17" s="32" t="s">
        <v>2739</v>
      </c>
      <c r="D17" s="939" t="s">
        <v>3181</v>
      </c>
      <c r="E17" s="5"/>
      <c r="F17" s="5"/>
      <c r="G17" s="5"/>
      <c r="H17" s="5"/>
    </row>
    <row r="18" spans="1:8">
      <c r="A18" s="5"/>
      <c r="B18" s="6"/>
      <c r="C18" s="32" t="s">
        <v>2738</v>
      </c>
      <c r="D18" s="939" t="s">
        <v>3182</v>
      </c>
      <c r="E18" s="5"/>
      <c r="F18" s="5"/>
      <c r="G18" s="5"/>
      <c r="H18" s="5"/>
    </row>
    <row r="19" spans="1:8">
      <c r="A19" s="5"/>
      <c r="B19" s="6"/>
      <c r="C19" s="32" t="s">
        <v>2737</v>
      </c>
      <c r="D19" s="939" t="s">
        <v>3183</v>
      </c>
      <c r="E19" s="5"/>
      <c r="F19" s="5"/>
      <c r="G19" s="5"/>
      <c r="H19" s="5"/>
    </row>
    <row r="20" spans="1:8">
      <c r="A20" s="5"/>
      <c r="B20" s="6"/>
      <c r="C20" s="32" t="s">
        <v>2736</v>
      </c>
      <c r="D20" s="939" t="s">
        <v>3184</v>
      </c>
      <c r="E20" s="5"/>
      <c r="F20" s="5"/>
      <c r="G20" s="5"/>
      <c r="H20" s="5"/>
    </row>
    <row r="21" spans="1:8">
      <c r="A21" s="5"/>
      <c r="B21" s="6"/>
      <c r="C21" s="32" t="s">
        <v>2735</v>
      </c>
      <c r="D21" s="939" t="s">
        <v>3185</v>
      </c>
      <c r="E21" s="5"/>
      <c r="F21" s="5"/>
      <c r="G21" s="5"/>
      <c r="H21" s="5"/>
    </row>
    <row r="22" spans="1:8">
      <c r="A22" s="5"/>
      <c r="B22" s="6"/>
      <c r="C22" s="32" t="s">
        <v>2734</v>
      </c>
      <c r="D22" s="939" t="s">
        <v>3186</v>
      </c>
      <c r="E22" s="5"/>
      <c r="F22" s="5"/>
      <c r="G22" s="5"/>
      <c r="H22" s="5"/>
    </row>
    <row r="23" spans="1:8">
      <c r="A23" s="5"/>
      <c r="B23" s="6"/>
      <c r="C23" s="32" t="s">
        <v>2733</v>
      </c>
      <c r="D23" s="939" t="s">
        <v>2916</v>
      </c>
      <c r="E23" s="5"/>
      <c r="F23" s="5"/>
      <c r="G23" s="5"/>
      <c r="H23" s="5"/>
    </row>
    <row r="24" spans="1:8">
      <c r="A24" s="5"/>
      <c r="B24" s="6"/>
      <c r="C24" s="32" t="s">
        <v>2732</v>
      </c>
      <c r="D24" s="939" t="s">
        <v>2666</v>
      </c>
      <c r="E24" s="5"/>
      <c r="F24" s="5"/>
      <c r="G24" s="5"/>
      <c r="H24" s="5"/>
    </row>
    <row r="25" spans="1:8">
      <c r="A25" s="5"/>
      <c r="B25" s="6"/>
      <c r="C25" s="32" t="s">
        <v>2731</v>
      </c>
      <c r="D25" s="939"/>
      <c r="E25" s="5"/>
      <c r="F25" s="5"/>
      <c r="G25" s="5"/>
      <c r="H25" s="5"/>
    </row>
    <row r="26" spans="1:8">
      <c r="A26" s="5"/>
      <c r="B26" s="6"/>
      <c r="C26" s="32" t="s">
        <v>2730</v>
      </c>
      <c r="D26" s="939"/>
      <c r="E26" s="5"/>
      <c r="F26" s="5"/>
      <c r="G26" s="5"/>
      <c r="H26" s="5"/>
    </row>
    <row r="27" spans="1:8">
      <c r="A27" s="5"/>
      <c r="B27" s="6"/>
      <c r="C27" s="32" t="s">
        <v>2729</v>
      </c>
      <c r="D27" s="939"/>
      <c r="E27" s="5"/>
      <c r="F27" s="5"/>
      <c r="G27" s="5"/>
      <c r="H27" s="5"/>
    </row>
    <row r="28" spans="1:8">
      <c r="A28" s="5"/>
      <c r="B28" s="6"/>
      <c r="C28" s="32"/>
      <c r="D28" s="5" t="s">
        <v>3203</v>
      </c>
      <c r="E28" s="5"/>
      <c r="F28" s="5"/>
      <c r="G28" s="5"/>
      <c r="H28" s="5"/>
    </row>
    <row r="29" spans="1:8">
      <c r="A29" s="5"/>
      <c r="B29" s="6"/>
      <c r="C29" s="32"/>
      <c r="D29" s="5"/>
      <c r="E29" s="5"/>
      <c r="F29" s="5"/>
      <c r="G29" s="5"/>
      <c r="H29" s="5"/>
    </row>
    <row r="30" spans="1:8">
      <c r="A30" s="5"/>
      <c r="B30" s="6"/>
      <c r="C30" s="640" t="s">
        <v>3159</v>
      </c>
      <c r="D30" s="5"/>
      <c r="E30" s="5"/>
      <c r="F30" s="5"/>
      <c r="G30" s="5"/>
      <c r="H30" s="5"/>
    </row>
    <row r="31" spans="1:8">
      <c r="A31" s="5"/>
      <c r="B31" s="6"/>
      <c r="C31" s="32" t="s">
        <v>3159</v>
      </c>
      <c r="D31" s="939" t="s">
        <v>3160</v>
      </c>
      <c r="E31" s="6" t="s">
        <v>3204</v>
      </c>
      <c r="F31" s="5"/>
      <c r="G31" s="5"/>
      <c r="H31" s="5"/>
    </row>
    <row r="32" spans="1:8">
      <c r="A32" s="5"/>
      <c r="B32" s="6"/>
      <c r="C32" s="32"/>
      <c r="D32" s="5"/>
      <c r="E32" s="5"/>
      <c r="F32" s="5"/>
      <c r="G32" s="5"/>
      <c r="H32" s="5"/>
    </row>
    <row r="33" spans="1:8">
      <c r="A33" s="5"/>
      <c r="B33" s="6"/>
      <c r="C33" s="643" t="s">
        <v>3164</v>
      </c>
      <c r="D33" s="5"/>
      <c r="E33" s="5"/>
      <c r="F33" s="5"/>
      <c r="G33" s="5"/>
      <c r="H33" s="5"/>
    </row>
    <row r="34" spans="1:8">
      <c r="A34" s="5"/>
      <c r="B34" s="6"/>
      <c r="C34" s="32" t="s">
        <v>2748</v>
      </c>
      <c r="D34" s="939" t="s">
        <v>3165</v>
      </c>
      <c r="E34" s="5"/>
      <c r="F34" s="5"/>
      <c r="G34" s="5"/>
      <c r="H34" s="5"/>
    </row>
    <row r="35" spans="1:8">
      <c r="A35" s="5"/>
      <c r="B35" s="6"/>
      <c r="C35" s="32" t="s">
        <v>2747</v>
      </c>
      <c r="D35" s="939" t="s">
        <v>3166</v>
      </c>
      <c r="E35" s="5"/>
      <c r="F35" s="5"/>
      <c r="G35" s="5"/>
      <c r="H35" s="5"/>
    </row>
    <row r="36" spans="1:8">
      <c r="A36" s="5"/>
      <c r="B36" s="6"/>
      <c r="C36" s="32" t="s">
        <v>2746</v>
      </c>
      <c r="D36" s="939" t="s">
        <v>3167</v>
      </c>
      <c r="E36" s="5"/>
      <c r="F36" s="5"/>
      <c r="G36" s="5"/>
      <c r="H36" s="5"/>
    </row>
    <row r="37" spans="1:8">
      <c r="A37" s="5"/>
      <c r="B37" s="6"/>
      <c r="C37" s="32" t="s">
        <v>2745</v>
      </c>
      <c r="D37" s="939" t="s">
        <v>3168</v>
      </c>
      <c r="E37" s="5"/>
      <c r="F37" s="5"/>
      <c r="G37" s="5"/>
      <c r="H37" s="5"/>
    </row>
    <row r="38" spans="1:8">
      <c r="A38" s="5"/>
      <c r="B38" s="6"/>
      <c r="C38" s="32" t="s">
        <v>2744</v>
      </c>
      <c r="D38" s="939" t="s">
        <v>3169</v>
      </c>
      <c r="E38" s="5"/>
      <c r="F38" s="5"/>
      <c r="G38" s="5"/>
      <c r="H38" s="5"/>
    </row>
    <row r="39" spans="1:8">
      <c r="A39" s="5"/>
      <c r="B39" s="6"/>
      <c r="C39" s="32" t="s">
        <v>2743</v>
      </c>
      <c r="D39" s="939" t="s">
        <v>3170</v>
      </c>
      <c r="E39" s="5"/>
      <c r="F39" s="5"/>
      <c r="G39" s="5"/>
      <c r="H39" s="5"/>
    </row>
    <row r="40" spans="1:8">
      <c r="A40" s="5"/>
      <c r="B40" s="6"/>
      <c r="C40" s="32" t="s">
        <v>2742</v>
      </c>
      <c r="D40" s="939" t="s">
        <v>3171</v>
      </c>
      <c r="E40" s="5"/>
      <c r="F40" s="5"/>
      <c r="G40" s="5"/>
      <c r="H40" s="5"/>
    </row>
    <row r="41" spans="1:8">
      <c r="A41" s="5"/>
      <c r="B41" s="6"/>
      <c r="C41" s="32" t="s">
        <v>2741</v>
      </c>
      <c r="D41" s="939" t="s">
        <v>1719</v>
      </c>
      <c r="E41" s="5"/>
      <c r="F41" s="5"/>
      <c r="G41" s="5"/>
      <c r="H41" s="5"/>
    </row>
    <row r="42" spans="1:8">
      <c r="A42" s="5"/>
      <c r="B42" s="6"/>
      <c r="C42" s="32" t="s">
        <v>2740</v>
      </c>
      <c r="D42" s="939" t="s">
        <v>3172</v>
      </c>
      <c r="E42" s="5"/>
      <c r="F42" s="5"/>
      <c r="G42" s="5"/>
      <c r="H42" s="5"/>
    </row>
    <row r="43" spans="1:8">
      <c r="A43" s="5"/>
      <c r="B43" s="6"/>
      <c r="C43" s="32" t="s">
        <v>2739</v>
      </c>
      <c r="D43" s="939" t="s">
        <v>3173</v>
      </c>
      <c r="E43" s="5"/>
      <c r="F43" s="5"/>
      <c r="G43" s="5"/>
      <c r="H43" s="5"/>
    </row>
    <row r="44" spans="1:8">
      <c r="A44" s="5"/>
      <c r="B44" s="6"/>
      <c r="C44" s="32" t="s">
        <v>2738</v>
      </c>
      <c r="D44" s="939"/>
      <c r="E44" s="5"/>
      <c r="F44" s="5"/>
      <c r="G44" s="5"/>
      <c r="H44" s="5"/>
    </row>
    <row r="45" spans="1:8">
      <c r="A45" s="5"/>
      <c r="B45" s="6"/>
      <c r="C45" s="32" t="s">
        <v>2737</v>
      </c>
      <c r="D45" s="939"/>
      <c r="E45" s="5"/>
      <c r="F45" s="5"/>
      <c r="G45" s="5"/>
      <c r="H45" s="5"/>
    </row>
    <row r="46" spans="1:8">
      <c r="A46" s="5"/>
      <c r="B46" s="6"/>
      <c r="C46" s="32" t="s">
        <v>2736</v>
      </c>
      <c r="D46" s="939"/>
      <c r="E46" s="5"/>
      <c r="F46" s="5"/>
      <c r="G46" s="5"/>
      <c r="H46" s="5"/>
    </row>
    <row r="47" spans="1:8">
      <c r="A47" s="5"/>
      <c r="B47" s="6"/>
      <c r="C47" s="32" t="s">
        <v>2735</v>
      </c>
      <c r="D47" s="939"/>
      <c r="E47" s="5"/>
      <c r="F47" s="5"/>
      <c r="G47" s="5"/>
      <c r="H47" s="5"/>
    </row>
    <row r="48" spans="1:8">
      <c r="A48" s="5"/>
      <c r="B48" s="6"/>
      <c r="C48" s="32" t="s">
        <v>2734</v>
      </c>
      <c r="D48" s="939"/>
      <c r="E48" s="5"/>
      <c r="F48" s="5"/>
      <c r="G48" s="5"/>
      <c r="H48" s="5"/>
    </row>
    <row r="49" spans="1:8">
      <c r="A49" s="5"/>
      <c r="B49" s="6"/>
      <c r="C49" s="32" t="s">
        <v>2733</v>
      </c>
      <c r="D49" s="939"/>
      <c r="E49" s="5"/>
      <c r="F49" s="5"/>
      <c r="G49" s="5"/>
      <c r="H49" s="5"/>
    </row>
    <row r="50" spans="1:8">
      <c r="A50" s="5"/>
      <c r="B50" s="6"/>
      <c r="C50" s="32" t="s">
        <v>2732</v>
      </c>
      <c r="D50" s="939"/>
      <c r="E50" s="5"/>
      <c r="F50" s="5"/>
      <c r="G50" s="5"/>
      <c r="H50" s="5"/>
    </row>
    <row r="51" spans="1:8">
      <c r="A51" s="5"/>
      <c r="B51" s="6"/>
      <c r="C51" s="32" t="s">
        <v>2731</v>
      </c>
      <c r="D51" s="939"/>
      <c r="E51" s="5"/>
      <c r="F51" s="5"/>
      <c r="G51" s="5"/>
      <c r="H51" s="5"/>
    </row>
    <row r="52" spans="1:8">
      <c r="A52" s="5"/>
      <c r="B52" s="6"/>
      <c r="C52" s="32" t="s">
        <v>2730</v>
      </c>
      <c r="D52" s="939"/>
      <c r="E52" s="5"/>
      <c r="F52" s="5"/>
      <c r="G52" s="5"/>
      <c r="H52" s="5"/>
    </row>
    <row r="53" spans="1:8">
      <c r="A53" s="5"/>
      <c r="B53" s="6"/>
      <c r="C53" s="32" t="s">
        <v>2729</v>
      </c>
      <c r="D53" s="939"/>
      <c r="E53" s="5"/>
      <c r="F53" s="5"/>
      <c r="G53" s="5"/>
      <c r="H53" s="5"/>
    </row>
    <row r="54" spans="1:8">
      <c r="A54" s="5"/>
      <c r="B54" s="6"/>
      <c r="C54" s="32" t="s">
        <v>3174</v>
      </c>
      <c r="D54" s="939"/>
      <c r="E54" s="5"/>
      <c r="F54" s="5"/>
      <c r="G54" s="5"/>
      <c r="H54" s="5"/>
    </row>
    <row r="55" spans="1:8">
      <c r="A55" s="5"/>
      <c r="B55" s="6"/>
      <c r="C55" s="32" t="s">
        <v>3175</v>
      </c>
      <c r="D55" s="939"/>
      <c r="E55" s="5"/>
      <c r="F55" s="5"/>
      <c r="G55" s="5"/>
      <c r="H55" s="5"/>
    </row>
    <row r="56" spans="1:8">
      <c r="A56" s="5"/>
      <c r="B56" s="6"/>
      <c r="C56" s="32" t="s">
        <v>3176</v>
      </c>
      <c r="D56" s="939"/>
      <c r="E56" s="5"/>
      <c r="F56" s="5"/>
      <c r="G56" s="5"/>
      <c r="H56" s="5"/>
    </row>
    <row r="57" spans="1:8">
      <c r="A57" s="5"/>
      <c r="B57" s="6"/>
      <c r="C57" s="32" t="s">
        <v>3177</v>
      </c>
      <c r="D57" s="939"/>
      <c r="E57" s="5"/>
      <c r="F57" s="5"/>
      <c r="G57" s="5"/>
      <c r="H57" s="5"/>
    </row>
    <row r="58" spans="1:8">
      <c r="A58" s="5"/>
      <c r="B58" s="6"/>
      <c r="C58" s="32"/>
      <c r="D58" s="5" t="s">
        <v>3205</v>
      </c>
      <c r="E58" s="5"/>
      <c r="F58" s="5"/>
      <c r="G58" s="5"/>
      <c r="H58"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O88"/>
  <sheetViews>
    <sheetView topLeftCell="A24" zoomScale="85" zoomScaleNormal="85" workbookViewId="0">
      <selection activeCell="C24" sqref="C24:C94"/>
    </sheetView>
  </sheetViews>
  <sheetFormatPr defaultColWidth="12" defaultRowHeight="12.75" customHeight="1"/>
  <cols>
    <col min="1" max="1" width="1.08984375" style="158" customWidth="1"/>
    <col min="2" max="2" width="0.7265625" style="158" customWidth="1"/>
    <col min="3" max="3" width="55.6328125" style="158" customWidth="1"/>
    <col min="4" max="4" width="0.6328125" style="158" customWidth="1"/>
    <col min="5" max="5" width="18.453125" style="158" customWidth="1"/>
    <col min="6" max="6" width="0.6328125" style="158" customWidth="1"/>
    <col min="7" max="15" width="18.453125" style="158" customWidth="1"/>
    <col min="16" max="16384" width="12" style="158"/>
  </cols>
  <sheetData>
    <row r="1" spans="1:15" s="142" customFormat="1" ht="13.8">
      <c r="A1" s="141" t="s">
        <v>3224</v>
      </c>
      <c r="D1" s="141"/>
      <c r="F1" s="141"/>
    </row>
    <row r="2" spans="1:15" s="1236" customFormat="1" ht="13.8">
      <c r="C2" s="1237"/>
      <c r="E2" s="1237"/>
      <c r="G2" s="1237"/>
      <c r="H2" s="1237"/>
      <c r="J2" s="1237"/>
      <c r="K2" s="1237"/>
      <c r="L2" s="1237"/>
      <c r="M2" s="1237"/>
      <c r="N2" s="1237"/>
      <c r="O2" s="1237"/>
    </row>
    <row r="3" spans="1:15" s="1236" customFormat="1" ht="13.8">
      <c r="C3" s="1236" t="s">
        <v>358</v>
      </c>
      <c r="E3" s="145" t="s">
        <v>382</v>
      </c>
      <c r="G3" s="145"/>
      <c r="H3" s="146"/>
      <c r="J3" s="146"/>
      <c r="K3" s="146"/>
      <c r="L3" s="146"/>
      <c r="M3" s="146"/>
      <c r="N3" s="146"/>
      <c r="O3" s="146"/>
    </row>
    <row r="4" spans="1:15" s="147" customFormat="1" ht="13.8"/>
    <row r="5" spans="1:15" s="149" customFormat="1" ht="13.8">
      <c r="A5" s="148"/>
      <c r="C5" s="149" t="s">
        <v>356</v>
      </c>
      <c r="D5" s="148"/>
      <c r="F5" s="148"/>
      <c r="H5" s="150"/>
      <c r="I5" s="150"/>
      <c r="J5" s="150"/>
      <c r="K5" s="150"/>
      <c r="L5" s="150"/>
      <c r="M5" s="150"/>
      <c r="N5" s="150"/>
      <c r="O5" s="150"/>
    </row>
    <row r="6" spans="1:15" s="147" customFormat="1" ht="13.8"/>
    <row r="7" spans="1:15" s="147" customFormat="1" ht="13.8">
      <c r="C7" s="151" t="s">
        <v>383</v>
      </c>
      <c r="E7" s="151"/>
      <c r="G7" s="151"/>
      <c r="H7" s="152" t="s">
        <v>384</v>
      </c>
    </row>
    <row r="8" spans="1:15" s="147" customFormat="1" ht="13.8">
      <c r="C8" s="153"/>
      <c r="E8" s="154" t="s">
        <v>385</v>
      </c>
      <c r="H8" s="155"/>
      <c r="I8" s="154" t="s">
        <v>386</v>
      </c>
    </row>
    <row r="9" spans="1:15" s="147" customFormat="1" ht="13.8">
      <c r="C9" s="156"/>
      <c r="E9" s="154" t="s">
        <v>354</v>
      </c>
    </row>
    <row r="10" spans="1:15" s="147" customFormat="1" ht="13.8">
      <c r="C10" s="157"/>
      <c r="E10" s="154" t="s">
        <v>387</v>
      </c>
    </row>
    <row r="11" spans="1:15" s="147" customFormat="1" ht="13.8"/>
    <row r="12" spans="1:15" s="149" customFormat="1" ht="13.8">
      <c r="A12" s="148"/>
      <c r="C12" s="149" t="s">
        <v>428</v>
      </c>
      <c r="D12" s="148"/>
      <c r="F12" s="148"/>
      <c r="H12" s="150"/>
      <c r="I12" s="150"/>
      <c r="J12" s="150"/>
      <c r="K12" s="150"/>
      <c r="L12" s="150"/>
      <c r="M12" s="150"/>
      <c r="N12" s="150"/>
      <c r="O12" s="150"/>
    </row>
    <row r="13" spans="1:15" ht="13.8">
      <c r="B13" s="159"/>
      <c r="G13" s="160"/>
      <c r="H13" s="161"/>
      <c r="I13" s="161"/>
      <c r="J13" s="161"/>
      <c r="K13" s="161"/>
      <c r="L13" s="161"/>
      <c r="M13" s="161"/>
      <c r="N13" s="161"/>
      <c r="O13" s="161"/>
    </row>
    <row r="14" spans="1:15" ht="13.8">
      <c r="B14" s="159"/>
      <c r="C14" s="158" t="s">
        <v>3223</v>
      </c>
      <c r="E14" s="430" t="s">
        <v>3147</v>
      </c>
      <c r="G14" s="216" t="s">
        <v>3222</v>
      </c>
      <c r="H14" s="458" t="s">
        <v>3221</v>
      </c>
      <c r="I14" s="161"/>
      <c r="J14" s="161"/>
      <c r="K14" s="161"/>
      <c r="L14" s="161"/>
      <c r="M14" s="161"/>
      <c r="N14" s="161"/>
      <c r="O14" s="161"/>
    </row>
    <row r="15" spans="1:15" ht="13.8">
      <c r="B15" s="160"/>
      <c r="C15" s="160"/>
      <c r="E15" s="160"/>
      <c r="G15" s="160"/>
      <c r="H15" s="161"/>
      <c r="I15" s="161"/>
      <c r="J15" s="161"/>
      <c r="K15" s="161"/>
      <c r="L15" s="161"/>
      <c r="M15" s="161"/>
      <c r="N15" s="161"/>
      <c r="O15" s="161"/>
    </row>
    <row r="16" spans="1:15" s="149" customFormat="1" ht="20.100000000000001" customHeight="1">
      <c r="C16" s="162" t="s">
        <v>113</v>
      </c>
      <c r="E16" s="162"/>
      <c r="G16" s="163"/>
      <c r="H16" s="162"/>
      <c r="I16" s="163"/>
      <c r="J16" s="163"/>
      <c r="K16" s="162"/>
      <c r="L16" s="163"/>
      <c r="M16" s="163"/>
      <c r="N16" s="162"/>
      <c r="O16" s="163"/>
    </row>
    <row r="17" spans="1:15" s="147" customFormat="1" ht="13.8"/>
    <row r="18" spans="1:15" s="147" customFormat="1" ht="13.8"/>
    <row r="19" spans="1:15" s="147" customFormat="1" ht="13.8"/>
    <row r="20" spans="1:15" s="147" customFormat="1" ht="13.8"/>
    <row r="21" spans="1:15" s="149" customFormat="1" ht="13.8">
      <c r="A21" s="148"/>
      <c r="C21" s="149" t="s">
        <v>3220</v>
      </c>
      <c r="D21" s="148"/>
      <c r="E21" s="149" t="s">
        <v>3219</v>
      </c>
      <c r="F21" s="148"/>
      <c r="G21" s="149" t="s">
        <v>3218</v>
      </c>
      <c r="H21" s="148"/>
      <c r="I21" s="150"/>
      <c r="K21" s="148"/>
      <c r="L21" s="150"/>
      <c r="M21" s="150"/>
      <c r="N21" s="148"/>
      <c r="O21" s="150"/>
    </row>
    <row r="23" spans="1:15" ht="12.75" customHeight="1">
      <c r="C23" s="158" t="s">
        <v>3217</v>
      </c>
      <c r="E23" s="158" t="s">
        <v>3216</v>
      </c>
    </row>
    <row r="24" spans="1:15" ht="12.75" customHeight="1">
      <c r="C24" s="1235" t="s">
        <v>3129</v>
      </c>
      <c r="E24" s="1235" t="s">
        <v>3228</v>
      </c>
      <c r="G24" s="1234" t="s">
        <v>3239</v>
      </c>
      <c r="H24" s="1234"/>
      <c r="I24" s="1233"/>
      <c r="J24" s="1233"/>
      <c r="K24" s="1233"/>
      <c r="L24" s="1233"/>
    </row>
    <row r="25" spans="1:15" ht="12.75" customHeight="1">
      <c r="C25" s="1235" t="s">
        <v>3130</v>
      </c>
      <c r="E25" s="1235" t="s">
        <v>3228</v>
      </c>
      <c r="G25" s="1235" t="s">
        <v>3240</v>
      </c>
      <c r="H25" s="1235"/>
    </row>
    <row r="26" spans="1:15" ht="12.75" customHeight="1">
      <c r="C26" s="1235" t="s">
        <v>3131</v>
      </c>
      <c r="E26" s="1235" t="s">
        <v>3228</v>
      </c>
      <c r="G26" s="1235" t="s">
        <v>3240</v>
      </c>
      <c r="H26" s="1235"/>
    </row>
    <row r="27" spans="1:15" ht="12.75" customHeight="1">
      <c r="C27" s="1235" t="s">
        <v>3135</v>
      </c>
      <c r="E27" s="1235" t="s">
        <v>3228</v>
      </c>
      <c r="G27" s="1235" t="s">
        <v>3237</v>
      </c>
      <c r="H27" s="1235"/>
    </row>
    <row r="28" spans="1:15" ht="12.75" customHeight="1">
      <c r="C28" s="1235" t="s">
        <v>3136</v>
      </c>
      <c r="E28" s="1235" t="s">
        <v>3228</v>
      </c>
      <c r="G28" s="1235" t="s">
        <v>3237</v>
      </c>
      <c r="H28" s="1235"/>
    </row>
    <row r="29" spans="1:15" ht="12.75" customHeight="1">
      <c r="C29" s="1235" t="s">
        <v>3137</v>
      </c>
      <c r="E29" s="1235" t="s">
        <v>3228</v>
      </c>
      <c r="G29" s="1235" t="s">
        <v>3237</v>
      </c>
      <c r="H29" s="1235"/>
    </row>
    <row r="30" spans="1:15" ht="12.75" customHeight="1">
      <c r="C30" s="1235" t="s">
        <v>3059</v>
      </c>
      <c r="E30" s="1235" t="s">
        <v>3228</v>
      </c>
      <c r="G30" s="1235" t="s">
        <v>3230</v>
      </c>
      <c r="H30" s="1235"/>
    </row>
    <row r="31" spans="1:15" ht="12.75" customHeight="1">
      <c r="C31" s="1235" t="s">
        <v>3061</v>
      </c>
      <c r="E31" s="1235" t="s">
        <v>3228</v>
      </c>
      <c r="G31" s="1235" t="s">
        <v>3230</v>
      </c>
      <c r="H31" s="1235"/>
    </row>
    <row r="32" spans="1:15" ht="12.75" customHeight="1">
      <c r="C32" s="1235" t="s">
        <v>3060</v>
      </c>
      <c r="E32" s="1235" t="s">
        <v>3228</v>
      </c>
      <c r="G32" s="1235" t="s">
        <v>3230</v>
      </c>
      <c r="H32" s="1235"/>
    </row>
    <row r="33" spans="3:8" ht="12.75" customHeight="1">
      <c r="C33" s="1235" t="s">
        <v>3111</v>
      </c>
      <c r="E33" s="1235" t="s">
        <v>3228</v>
      </c>
      <c r="G33" s="1235" t="s">
        <v>3238</v>
      </c>
      <c r="H33" s="1235"/>
    </row>
    <row r="34" spans="3:8" ht="12.75" customHeight="1">
      <c r="C34" s="1235" t="s">
        <v>3112</v>
      </c>
      <c r="E34" s="1235" t="s">
        <v>3228</v>
      </c>
      <c r="G34" s="1235" t="s">
        <v>3238</v>
      </c>
      <c r="H34" s="1235"/>
    </row>
    <row r="35" spans="3:8" ht="12.75" customHeight="1">
      <c r="C35" s="1235" t="s">
        <v>3114</v>
      </c>
      <c r="E35" s="1235" t="s">
        <v>3228</v>
      </c>
      <c r="G35" s="1235" t="s">
        <v>3238</v>
      </c>
      <c r="H35" s="1235"/>
    </row>
    <row r="36" spans="3:8" ht="12.75" customHeight="1">
      <c r="C36" s="1235" t="s">
        <v>3115</v>
      </c>
      <c r="E36" s="1235" t="s">
        <v>3228</v>
      </c>
      <c r="G36" s="1235" t="s">
        <v>3238</v>
      </c>
      <c r="H36" s="1235"/>
    </row>
    <row r="37" spans="3:8" ht="12.75" customHeight="1">
      <c r="C37" s="1235" t="s">
        <v>3116</v>
      </c>
      <c r="E37" s="1235" t="s">
        <v>3228</v>
      </c>
      <c r="G37" s="1235" t="s">
        <v>3238</v>
      </c>
      <c r="H37" s="1235"/>
    </row>
    <row r="38" spans="3:8" ht="12.75" customHeight="1">
      <c r="C38" s="1235" t="s">
        <v>3117</v>
      </c>
      <c r="E38" s="1235" t="s">
        <v>3228</v>
      </c>
      <c r="G38" s="1235" t="s">
        <v>3238</v>
      </c>
      <c r="H38" s="1235"/>
    </row>
    <row r="39" spans="3:8" ht="12.75" customHeight="1">
      <c r="C39" s="1235" t="s">
        <v>3132</v>
      </c>
      <c r="E39" s="1235" t="s">
        <v>3228</v>
      </c>
      <c r="G39" s="1235" t="s">
        <v>3240</v>
      </c>
      <c r="H39" s="1235"/>
    </row>
    <row r="40" spans="3:8" ht="12.75" customHeight="1">
      <c r="C40" s="1235" t="s">
        <v>3075</v>
      </c>
      <c r="E40" s="1235" t="s">
        <v>3228</v>
      </c>
      <c r="G40" s="1235" t="s">
        <v>3230</v>
      </c>
      <c r="H40" s="1235"/>
    </row>
    <row r="41" spans="3:8" ht="12.75" customHeight="1">
      <c r="C41" s="1235" t="s">
        <v>3076</v>
      </c>
      <c r="E41" s="1235" t="s">
        <v>3228</v>
      </c>
      <c r="G41" s="1235" t="s">
        <v>3230</v>
      </c>
      <c r="H41" s="1235"/>
    </row>
    <row r="42" spans="3:8" ht="12.75" customHeight="1">
      <c r="C42" s="1235" t="s">
        <v>3077</v>
      </c>
      <c r="E42" s="1235" t="s">
        <v>3228</v>
      </c>
      <c r="G42" s="1235" t="s">
        <v>3230</v>
      </c>
      <c r="H42" s="1235"/>
    </row>
    <row r="43" spans="3:8" ht="12.75" customHeight="1">
      <c r="C43" s="1235" t="s">
        <v>3078</v>
      </c>
      <c r="E43" s="1235" t="s">
        <v>3228</v>
      </c>
      <c r="G43" s="1235" t="s">
        <v>3236</v>
      </c>
      <c r="H43" s="1235"/>
    </row>
    <row r="44" spans="3:8" ht="12.75" customHeight="1">
      <c r="C44" s="1235" t="s">
        <v>3079</v>
      </c>
      <c r="E44" s="1235" t="s">
        <v>3228</v>
      </c>
      <c r="G44" s="1235" t="s">
        <v>3236</v>
      </c>
      <c r="H44" s="1235"/>
    </row>
    <row r="45" spans="3:8" ht="12.75" customHeight="1">
      <c r="C45" s="1235" t="s">
        <v>3080</v>
      </c>
      <c r="E45" s="1235" t="s">
        <v>3228</v>
      </c>
      <c r="G45" s="1235" t="s">
        <v>3236</v>
      </c>
      <c r="H45" s="1235"/>
    </row>
    <row r="46" spans="3:8" ht="12.75" customHeight="1">
      <c r="C46" s="1235" t="s">
        <v>3140</v>
      </c>
      <c r="E46" s="1235" t="s">
        <v>3228</v>
      </c>
      <c r="G46" s="1235" t="s">
        <v>3240</v>
      </c>
      <c r="H46" s="1235"/>
    </row>
    <row r="47" spans="3:8" ht="12.75" customHeight="1">
      <c r="C47" s="1235" t="s">
        <v>3141</v>
      </c>
      <c r="E47" s="1235" t="s">
        <v>3228</v>
      </c>
      <c r="G47" s="1235" t="s">
        <v>3240</v>
      </c>
      <c r="H47" s="1235"/>
    </row>
    <row r="48" spans="3:8" ht="12.75" customHeight="1">
      <c r="C48" s="1235" t="s">
        <v>3144</v>
      </c>
      <c r="E48" s="1235" t="s">
        <v>3228</v>
      </c>
      <c r="G48" s="1235" t="s">
        <v>3237</v>
      </c>
      <c r="H48" s="1235"/>
    </row>
    <row r="49" spans="3:8" ht="12.75" customHeight="1">
      <c r="C49" s="1235" t="s">
        <v>3145</v>
      </c>
      <c r="E49" s="1235" t="s">
        <v>3228</v>
      </c>
      <c r="G49" s="1235" t="s">
        <v>3237</v>
      </c>
      <c r="H49" s="1235"/>
    </row>
    <row r="50" spans="3:8" ht="12.75" customHeight="1">
      <c r="C50" s="1235" t="s">
        <v>3084</v>
      </c>
      <c r="E50" s="1235" t="s">
        <v>3228</v>
      </c>
      <c r="G50" s="1235" t="s">
        <v>3230</v>
      </c>
      <c r="H50" s="1235"/>
    </row>
    <row r="51" spans="3:8" ht="12.75" customHeight="1">
      <c r="C51" s="1235" t="s">
        <v>3086</v>
      </c>
      <c r="E51" s="1235" t="s">
        <v>3228</v>
      </c>
      <c r="G51" s="1235" t="s">
        <v>3230</v>
      </c>
      <c r="H51" s="1235"/>
    </row>
    <row r="52" spans="3:8" ht="12.75" customHeight="1">
      <c r="C52" s="1235" t="s">
        <v>3085</v>
      </c>
      <c r="E52" s="1235" t="s">
        <v>3228</v>
      </c>
      <c r="G52" s="1235" t="s">
        <v>3230</v>
      </c>
      <c r="H52" s="1235"/>
    </row>
    <row r="53" spans="3:8" ht="12.75" customHeight="1">
      <c r="C53" s="1235" t="s">
        <v>3082</v>
      </c>
      <c r="E53" s="1235" t="s">
        <v>3228</v>
      </c>
      <c r="G53" s="1235" t="s">
        <v>3236</v>
      </c>
      <c r="H53" s="1235"/>
    </row>
    <row r="54" spans="3:8" ht="12.75" customHeight="1">
      <c r="C54" s="1235" t="s">
        <v>3113</v>
      </c>
      <c r="E54" s="1235" t="s">
        <v>3228</v>
      </c>
      <c r="G54" s="1235" t="s">
        <v>3238</v>
      </c>
      <c r="H54" s="1235"/>
    </row>
    <row r="55" spans="3:8" ht="12.75" customHeight="1">
      <c r="C55" s="1235" t="s">
        <v>3083</v>
      </c>
      <c r="E55" s="1235" t="s">
        <v>3228</v>
      </c>
      <c r="G55" s="1235" t="s">
        <v>3236</v>
      </c>
      <c r="H55" s="1235"/>
    </row>
    <row r="56" spans="3:8" ht="12.75" customHeight="1">
      <c r="C56" s="1235" t="s">
        <v>3118</v>
      </c>
      <c r="E56" s="1235" t="s">
        <v>3228</v>
      </c>
      <c r="G56" s="1235" t="s">
        <v>3238</v>
      </c>
      <c r="H56" s="1235"/>
    </row>
    <row r="57" spans="3:8" ht="12.75" customHeight="1">
      <c r="C57" s="1235" t="s">
        <v>3142</v>
      </c>
      <c r="E57" s="1235" t="s">
        <v>3228</v>
      </c>
      <c r="G57" s="1235" t="s">
        <v>3240</v>
      </c>
      <c r="H57" s="1235"/>
    </row>
    <row r="58" spans="3:8" ht="12.75" customHeight="1">
      <c r="C58" s="1235" t="s">
        <v>3087</v>
      </c>
      <c r="E58" s="1235" t="s">
        <v>3228</v>
      </c>
      <c r="G58" s="1235" t="s">
        <v>3230</v>
      </c>
      <c r="H58" s="1235"/>
    </row>
    <row r="59" spans="3:8" ht="12.75" customHeight="1">
      <c r="C59" s="1235" t="s">
        <v>3088</v>
      </c>
      <c r="E59" s="1235" t="s">
        <v>3228</v>
      </c>
      <c r="G59" s="1235" t="s">
        <v>3230</v>
      </c>
      <c r="H59" s="1235"/>
    </row>
    <row r="60" spans="3:8" ht="12.75" customHeight="1">
      <c r="C60" s="1235" t="s">
        <v>3066</v>
      </c>
      <c r="E60" s="1235" t="s">
        <v>3228</v>
      </c>
      <c r="G60" s="1235" t="s">
        <v>3230</v>
      </c>
      <c r="H60" s="1235"/>
    </row>
    <row r="61" spans="3:8" ht="12.75" customHeight="1">
      <c r="C61" s="1235" t="s">
        <v>3065</v>
      </c>
      <c r="E61" s="1235" t="s">
        <v>3228</v>
      </c>
      <c r="G61" s="1235" t="s">
        <v>3230</v>
      </c>
      <c r="H61" s="1235"/>
    </row>
    <row r="62" spans="3:8" ht="12.75" customHeight="1">
      <c r="C62" s="1235" t="s">
        <v>3067</v>
      </c>
      <c r="E62" s="1235" t="s">
        <v>3228</v>
      </c>
      <c r="G62" s="1235" t="s">
        <v>3230</v>
      </c>
      <c r="H62" s="1235"/>
    </row>
    <row r="63" spans="3:8" ht="12.75" customHeight="1">
      <c r="C63" s="1235" t="s">
        <v>3068</v>
      </c>
      <c r="E63" s="1235" t="s">
        <v>3228</v>
      </c>
      <c r="G63" s="1235" t="s">
        <v>3230</v>
      </c>
      <c r="H63" s="1235"/>
    </row>
    <row r="64" spans="3:8" ht="12.75" customHeight="1">
      <c r="C64" s="1235" t="s">
        <v>3069</v>
      </c>
      <c r="E64" s="1235" t="s">
        <v>3228</v>
      </c>
      <c r="G64" s="1235" t="s">
        <v>3230</v>
      </c>
      <c r="H64" s="1235"/>
    </row>
    <row r="65" spans="3:8" ht="12.75" customHeight="1">
      <c r="C65" s="1235" t="s">
        <v>3070</v>
      </c>
      <c r="E65" s="1235" t="s">
        <v>3228</v>
      </c>
      <c r="G65" s="1235" t="s">
        <v>3230</v>
      </c>
      <c r="H65" s="1235"/>
    </row>
    <row r="66" spans="3:8" ht="12.75" customHeight="1">
      <c r="C66" s="1235" t="s">
        <v>3071</v>
      </c>
      <c r="E66" s="1235" t="s">
        <v>3228</v>
      </c>
      <c r="G66" s="1235" t="s">
        <v>3230</v>
      </c>
      <c r="H66" s="1235"/>
    </row>
    <row r="67" spans="3:8" ht="12.75" customHeight="1">
      <c r="C67" s="1235" t="s">
        <v>3072</v>
      </c>
      <c r="E67" s="1235" t="s">
        <v>3228</v>
      </c>
      <c r="G67" s="1235" t="s">
        <v>3230</v>
      </c>
      <c r="H67" s="1235"/>
    </row>
    <row r="68" spans="3:8" ht="12.75" customHeight="1">
      <c r="C68" s="1235" t="s">
        <v>3073</v>
      </c>
      <c r="E68" s="1235" t="s">
        <v>3228</v>
      </c>
      <c r="G68" s="1235" t="s">
        <v>3230</v>
      </c>
      <c r="H68" s="1235"/>
    </row>
    <row r="69" spans="3:8" ht="12.75" customHeight="1">
      <c r="C69" s="1235" t="s">
        <v>3074</v>
      </c>
      <c r="E69" s="1235" t="s">
        <v>3228</v>
      </c>
      <c r="G69" s="1235" t="s">
        <v>3230</v>
      </c>
      <c r="H69" s="1235"/>
    </row>
    <row r="70" spans="3:8" ht="12.75" customHeight="1">
      <c r="C70" s="1235" t="s">
        <v>3064</v>
      </c>
      <c r="E70" s="1235" t="s">
        <v>3228</v>
      </c>
      <c r="G70" s="1235" t="s">
        <v>3230</v>
      </c>
      <c r="H70" s="1235"/>
    </row>
    <row r="71" spans="3:8" ht="12.75" customHeight="1">
      <c r="C71" s="1235" t="s">
        <v>3063</v>
      </c>
      <c r="E71" s="1235" t="s">
        <v>3228</v>
      </c>
      <c r="G71" s="1235" t="s">
        <v>3230</v>
      </c>
      <c r="H71" s="1235"/>
    </row>
    <row r="72" spans="3:8" ht="12.75" customHeight="1">
      <c r="C72" s="1235" t="s">
        <v>3057</v>
      </c>
      <c r="E72" s="1235" t="s">
        <v>3228</v>
      </c>
      <c r="G72" s="1235" t="s">
        <v>3238</v>
      </c>
      <c r="H72" s="1235"/>
    </row>
    <row r="73" spans="3:8" ht="12.75" customHeight="1">
      <c r="C73" s="1235" t="s">
        <v>3122</v>
      </c>
      <c r="E73" s="1235" t="s">
        <v>3228</v>
      </c>
      <c r="G73" s="1235" t="s">
        <v>3241</v>
      </c>
      <c r="H73" s="1235"/>
    </row>
    <row r="74" spans="3:8" ht="12.75" customHeight="1">
      <c r="C74" s="1235" t="s">
        <v>3120</v>
      </c>
      <c r="E74" s="1235" t="s">
        <v>3228</v>
      </c>
      <c r="G74" s="1235" t="s">
        <v>3237</v>
      </c>
      <c r="H74" s="1235"/>
    </row>
    <row r="75" spans="3:8" ht="12.75" customHeight="1">
      <c r="C75" s="1235" t="s">
        <v>3133</v>
      </c>
      <c r="E75" s="1235" t="s">
        <v>3228</v>
      </c>
      <c r="G75" s="1235" t="s">
        <v>3237</v>
      </c>
      <c r="H75" s="1235"/>
    </row>
    <row r="76" spans="3:8" ht="12.75" customHeight="1">
      <c r="C76" s="1235" t="s">
        <v>3134</v>
      </c>
      <c r="E76" s="1235" t="s">
        <v>3228</v>
      </c>
      <c r="G76" s="1235" t="s">
        <v>3237</v>
      </c>
      <c r="H76" s="1235"/>
    </row>
    <row r="77" spans="3:8" ht="12.75" customHeight="1">
      <c r="C77" s="1235" t="s">
        <v>3225</v>
      </c>
      <c r="E77" s="1235" t="s">
        <v>3228</v>
      </c>
      <c r="G77" s="1235" t="s">
        <v>3237</v>
      </c>
      <c r="H77" s="1235"/>
    </row>
    <row r="78" spans="3:8" ht="12.75" customHeight="1">
      <c r="C78" s="1235" t="s">
        <v>3226</v>
      </c>
      <c r="E78" s="1235" t="s">
        <v>3228</v>
      </c>
      <c r="G78" s="1235" t="s">
        <v>3237</v>
      </c>
      <c r="H78" s="1235"/>
    </row>
    <row r="79" spans="3:8" ht="12.75" customHeight="1">
      <c r="C79" s="1235" t="s">
        <v>3143</v>
      </c>
      <c r="E79" s="1235" t="s">
        <v>3228</v>
      </c>
      <c r="G79" s="1235" t="s">
        <v>3237</v>
      </c>
      <c r="H79" s="1235"/>
    </row>
    <row r="80" spans="3:8" ht="12.75" customHeight="1">
      <c r="C80" s="1235" t="s">
        <v>3227</v>
      </c>
      <c r="E80" s="1235" t="s">
        <v>3228</v>
      </c>
      <c r="G80" s="1235" t="s">
        <v>3237</v>
      </c>
      <c r="H80" s="1235"/>
    </row>
    <row r="81" spans="3:8" ht="12.75" customHeight="1">
      <c r="C81" s="1235" t="s">
        <v>3128</v>
      </c>
      <c r="E81" s="1235" t="s">
        <v>3228</v>
      </c>
      <c r="G81" s="1235" t="s">
        <v>3243</v>
      </c>
      <c r="H81" s="1235"/>
    </row>
    <row r="82" spans="3:8" ht="12.75" customHeight="1">
      <c r="C82" s="1235" t="s">
        <v>3211</v>
      </c>
      <c r="E82" s="1235" t="s">
        <v>3228</v>
      </c>
      <c r="G82" s="1235" t="s">
        <v>3241</v>
      </c>
      <c r="H82" s="1235"/>
    </row>
    <row r="83" spans="3:8" ht="12.75" customHeight="1">
      <c r="C83" s="1235" t="s">
        <v>3125</v>
      </c>
      <c r="E83" s="1235" t="s">
        <v>3228</v>
      </c>
      <c r="G83" s="1235" t="s">
        <v>3241</v>
      </c>
      <c r="H83" s="1235"/>
    </row>
    <row r="84" spans="3:8" ht="12.75" customHeight="1">
      <c r="C84" s="1235" t="s">
        <v>3127</v>
      </c>
      <c r="E84" s="1235" t="s">
        <v>3228</v>
      </c>
      <c r="G84" s="1235" t="s">
        <v>3241</v>
      </c>
      <c r="H84" s="1235"/>
    </row>
    <row r="85" spans="3:8" ht="12.75" customHeight="1">
      <c r="C85" s="1235" t="s">
        <v>3119</v>
      </c>
      <c r="E85" s="1235" t="s">
        <v>3228</v>
      </c>
      <c r="G85" s="1235" t="s">
        <v>3242</v>
      </c>
      <c r="H85" s="1235"/>
    </row>
    <row r="86" spans="3:8" ht="12.75" customHeight="1">
      <c r="C86" s="1235" t="s">
        <v>3092</v>
      </c>
      <c r="E86" s="1235" t="s">
        <v>3228</v>
      </c>
      <c r="G86" s="1235" t="s">
        <v>3232</v>
      </c>
      <c r="H86" s="1235"/>
    </row>
    <row r="87" spans="3:8" ht="12.75" customHeight="1">
      <c r="C87" s="1235" t="s">
        <v>3095</v>
      </c>
      <c r="E87" s="1235" t="s">
        <v>3228</v>
      </c>
      <c r="G87" s="1235" t="s">
        <v>3233</v>
      </c>
      <c r="H87" s="1235"/>
    </row>
    <row r="88" spans="3:8" ht="12.75" customHeight="1">
      <c r="C88" s="1235" t="s">
        <v>3096</v>
      </c>
      <c r="E88" s="1235" t="s">
        <v>3228</v>
      </c>
      <c r="G88" s="1235" t="s">
        <v>3234</v>
      </c>
      <c r="H88" s="1235"/>
    </row>
  </sheetData>
  <conditionalFormatting sqref="G32">
    <cfRule type="expression" dxfId="1069" priority="261" stopIfTrue="1">
      <formula>$E32=""</formula>
    </cfRule>
  </conditionalFormatting>
  <conditionalFormatting sqref="G64">
    <cfRule type="expression" dxfId="1068" priority="129" stopIfTrue="1">
      <formula>$E64=""</formula>
    </cfRule>
  </conditionalFormatting>
  <conditionalFormatting sqref="H66">
    <cfRule type="expression" dxfId="1067" priority="122" stopIfTrue="1">
      <formula>$E66=""</formula>
    </cfRule>
  </conditionalFormatting>
  <conditionalFormatting sqref="G76">
    <cfRule type="expression" dxfId="1066" priority="81" stopIfTrue="1">
      <formula>$E76=""</formula>
    </cfRule>
  </conditionalFormatting>
  <conditionalFormatting sqref="G77">
    <cfRule type="expression" dxfId="1065" priority="77" stopIfTrue="1">
      <formula>$E77=""</formula>
    </cfRule>
  </conditionalFormatting>
  <conditionalFormatting sqref="H75">
    <cfRule type="expression" dxfId="1064" priority="86" stopIfTrue="1">
      <formula>$E75=""</formula>
    </cfRule>
  </conditionalFormatting>
  <conditionalFormatting sqref="G74">
    <cfRule type="expression" dxfId="1063" priority="89" stopIfTrue="1">
      <formula>$E74=""</formula>
    </cfRule>
  </conditionalFormatting>
  <conditionalFormatting sqref="H57">
    <cfRule type="expression" dxfId="1062" priority="158" stopIfTrue="1">
      <formula>$E57=""</formula>
    </cfRule>
  </conditionalFormatting>
  <conditionalFormatting sqref="G70">
    <cfRule type="expression" dxfId="1061" priority="105" stopIfTrue="1">
      <formula>$E70=""</formula>
    </cfRule>
  </conditionalFormatting>
  <conditionalFormatting sqref="H69">
    <cfRule type="expression" dxfId="1060" priority="110" stopIfTrue="1">
      <formula>$E69=""</formula>
    </cfRule>
  </conditionalFormatting>
  <conditionalFormatting sqref="H39">
    <cfRule type="expression" dxfId="1059" priority="234" stopIfTrue="1">
      <formula>$E39=""</formula>
    </cfRule>
  </conditionalFormatting>
  <conditionalFormatting sqref="G38">
    <cfRule type="expression" dxfId="1058" priority="237" stopIfTrue="1">
      <formula>$E38=""</formula>
    </cfRule>
  </conditionalFormatting>
  <conditionalFormatting sqref="H35">
    <cfRule type="expression" dxfId="1057" priority="250" stopIfTrue="1">
      <formula>$E35=""</formula>
    </cfRule>
  </conditionalFormatting>
  <conditionalFormatting sqref="G37">
    <cfRule type="expression" dxfId="1056" priority="241" stopIfTrue="1">
      <formula>$E37=""</formula>
    </cfRule>
  </conditionalFormatting>
  <conditionalFormatting sqref="H71">
    <cfRule type="expression" dxfId="1055" priority="102" stopIfTrue="1">
      <formula>$E71=""</formula>
    </cfRule>
  </conditionalFormatting>
  <conditionalFormatting sqref="G35">
    <cfRule type="expression" dxfId="1054" priority="249" stopIfTrue="1">
      <formula>$E35=""</formula>
    </cfRule>
  </conditionalFormatting>
  <conditionalFormatting sqref="H45">
    <cfRule type="expression" dxfId="1053" priority="210" stopIfTrue="1">
      <formula>$E45=""</formula>
    </cfRule>
  </conditionalFormatting>
  <conditionalFormatting sqref="G33">
    <cfRule type="expression" dxfId="1052" priority="257" stopIfTrue="1">
      <formula>$E33=""</formula>
    </cfRule>
  </conditionalFormatting>
  <conditionalFormatting sqref="H24">
    <cfRule type="expression" dxfId="1051" priority="300" stopIfTrue="1">
      <formula>$E24="List"</formula>
    </cfRule>
  </conditionalFormatting>
  <conditionalFormatting sqref="H24">
    <cfRule type="expression" dxfId="1050" priority="299" stopIfTrue="1">
      <formula>$E24="Text Length"</formula>
    </cfRule>
  </conditionalFormatting>
  <conditionalFormatting sqref="H24">
    <cfRule type="expression" dxfId="1049" priority="298" stopIfTrue="1">
      <formula>$E24=""</formula>
    </cfRule>
  </conditionalFormatting>
  <conditionalFormatting sqref="G24">
    <cfRule type="expression" dxfId="1048" priority="297" stopIfTrue="1">
      <formula>$E24=""</formula>
    </cfRule>
  </conditionalFormatting>
  <conditionalFormatting sqref="H25">
    <cfRule type="expression" dxfId="1047" priority="296" stopIfTrue="1">
      <formula>$E25="List"</formula>
    </cfRule>
  </conditionalFormatting>
  <conditionalFormatting sqref="H25">
    <cfRule type="expression" dxfId="1046" priority="295" stopIfTrue="1">
      <formula>$E25="Text Length"</formula>
    </cfRule>
  </conditionalFormatting>
  <conditionalFormatting sqref="H25">
    <cfRule type="expression" dxfId="1045" priority="294" stopIfTrue="1">
      <formula>$E25=""</formula>
    </cfRule>
  </conditionalFormatting>
  <conditionalFormatting sqref="G25">
    <cfRule type="expression" dxfId="1044" priority="293" stopIfTrue="1">
      <formula>$E25=""</formula>
    </cfRule>
  </conditionalFormatting>
  <conditionalFormatting sqref="H26">
    <cfRule type="expression" dxfId="1043" priority="292" stopIfTrue="1">
      <formula>$E26="List"</formula>
    </cfRule>
  </conditionalFormatting>
  <conditionalFormatting sqref="H26">
    <cfRule type="expression" dxfId="1042" priority="291" stopIfTrue="1">
      <formula>$E26="Text Length"</formula>
    </cfRule>
  </conditionalFormatting>
  <conditionalFormatting sqref="H26">
    <cfRule type="expression" dxfId="1041" priority="290" stopIfTrue="1">
      <formula>$E26=""</formula>
    </cfRule>
  </conditionalFormatting>
  <conditionalFormatting sqref="G26">
    <cfRule type="expression" dxfId="1040" priority="289" stopIfTrue="1">
      <formula>$E26=""</formula>
    </cfRule>
  </conditionalFormatting>
  <conditionalFormatting sqref="H27">
    <cfRule type="expression" dxfId="1039" priority="288" stopIfTrue="1">
      <formula>$E27="List"</formula>
    </cfRule>
  </conditionalFormatting>
  <conditionalFormatting sqref="H27">
    <cfRule type="expression" dxfId="1038" priority="287" stopIfTrue="1">
      <formula>$E27="Text Length"</formula>
    </cfRule>
  </conditionalFormatting>
  <conditionalFormatting sqref="H27">
    <cfRule type="expression" dxfId="1037" priority="286" stopIfTrue="1">
      <formula>$E27=""</formula>
    </cfRule>
  </conditionalFormatting>
  <conditionalFormatting sqref="G27">
    <cfRule type="expression" dxfId="1036" priority="285" stopIfTrue="1">
      <formula>$E27=""</formula>
    </cfRule>
  </conditionalFormatting>
  <conditionalFormatting sqref="H28">
    <cfRule type="expression" dxfId="1035" priority="284" stopIfTrue="1">
      <formula>$E28="List"</formula>
    </cfRule>
  </conditionalFormatting>
  <conditionalFormatting sqref="H28">
    <cfRule type="expression" dxfId="1034" priority="283" stopIfTrue="1">
      <formula>$E28="Text Length"</formula>
    </cfRule>
  </conditionalFormatting>
  <conditionalFormatting sqref="H28">
    <cfRule type="expression" dxfId="1033" priority="282" stopIfTrue="1">
      <formula>$E28=""</formula>
    </cfRule>
  </conditionalFormatting>
  <conditionalFormatting sqref="G28">
    <cfRule type="expression" dxfId="1032" priority="281" stopIfTrue="1">
      <formula>$E28=""</formula>
    </cfRule>
  </conditionalFormatting>
  <conditionalFormatting sqref="H29">
    <cfRule type="expression" dxfId="1031" priority="280" stopIfTrue="1">
      <formula>$E29="List"</formula>
    </cfRule>
  </conditionalFormatting>
  <conditionalFormatting sqref="H29">
    <cfRule type="expression" dxfId="1030" priority="279" stopIfTrue="1">
      <formula>$E29="Text Length"</formula>
    </cfRule>
  </conditionalFormatting>
  <conditionalFormatting sqref="H29">
    <cfRule type="expression" dxfId="1029" priority="278" stopIfTrue="1">
      <formula>$E29=""</formula>
    </cfRule>
  </conditionalFormatting>
  <conditionalFormatting sqref="G29">
    <cfRule type="expression" dxfId="1028" priority="277" stopIfTrue="1">
      <formula>$E29=""</formula>
    </cfRule>
  </conditionalFormatting>
  <conditionalFormatting sqref="H30">
    <cfRule type="expression" dxfId="1027" priority="272" stopIfTrue="1">
      <formula>$E30="List"</formula>
    </cfRule>
  </conditionalFormatting>
  <conditionalFormatting sqref="H30">
    <cfRule type="expression" dxfId="1026" priority="271" stopIfTrue="1">
      <formula>$E30="Text Length"</formula>
    </cfRule>
  </conditionalFormatting>
  <conditionalFormatting sqref="H30">
    <cfRule type="expression" dxfId="1025" priority="270" stopIfTrue="1">
      <formula>$E30=""</formula>
    </cfRule>
  </conditionalFormatting>
  <conditionalFormatting sqref="G30">
    <cfRule type="expression" dxfId="1024" priority="269" stopIfTrue="1">
      <formula>$E30=""</formula>
    </cfRule>
  </conditionalFormatting>
  <conditionalFormatting sqref="H31">
    <cfRule type="expression" dxfId="1023" priority="268" stopIfTrue="1">
      <formula>$E31="List"</formula>
    </cfRule>
  </conditionalFormatting>
  <conditionalFormatting sqref="H31">
    <cfRule type="expression" dxfId="1022" priority="267" stopIfTrue="1">
      <formula>$E31="Text Length"</formula>
    </cfRule>
  </conditionalFormatting>
  <conditionalFormatting sqref="H31">
    <cfRule type="expression" dxfId="1021" priority="266" stopIfTrue="1">
      <formula>$E31=""</formula>
    </cfRule>
  </conditionalFormatting>
  <conditionalFormatting sqref="G31">
    <cfRule type="expression" dxfId="1020" priority="265" stopIfTrue="1">
      <formula>$E31=""</formula>
    </cfRule>
  </conditionalFormatting>
  <conditionalFormatting sqref="H32">
    <cfRule type="expression" dxfId="1019" priority="264" stopIfTrue="1">
      <formula>$E32="List"</formula>
    </cfRule>
  </conditionalFormatting>
  <conditionalFormatting sqref="H32">
    <cfRule type="expression" dxfId="1018" priority="263" stopIfTrue="1">
      <formula>$E32="Text Length"</formula>
    </cfRule>
  </conditionalFormatting>
  <conditionalFormatting sqref="H32">
    <cfRule type="expression" dxfId="1017" priority="262" stopIfTrue="1">
      <formula>$E32=""</formula>
    </cfRule>
  </conditionalFormatting>
  <conditionalFormatting sqref="H33">
    <cfRule type="expression" dxfId="1016" priority="260" stopIfTrue="1">
      <formula>$E33="List"</formula>
    </cfRule>
  </conditionalFormatting>
  <conditionalFormatting sqref="H33">
    <cfRule type="expression" dxfId="1015" priority="259" stopIfTrue="1">
      <formula>$E33="Text Length"</formula>
    </cfRule>
  </conditionalFormatting>
  <conditionalFormatting sqref="H33">
    <cfRule type="expression" dxfId="1014" priority="258" stopIfTrue="1">
      <formula>$E33=""</formula>
    </cfRule>
  </conditionalFormatting>
  <conditionalFormatting sqref="H34">
    <cfRule type="expression" dxfId="1013" priority="256" stopIfTrue="1">
      <formula>$E34="List"</formula>
    </cfRule>
  </conditionalFormatting>
  <conditionalFormatting sqref="H34">
    <cfRule type="expression" dxfId="1012" priority="255" stopIfTrue="1">
      <formula>$E34="Text Length"</formula>
    </cfRule>
  </conditionalFormatting>
  <conditionalFormatting sqref="H34">
    <cfRule type="expression" dxfId="1011" priority="254" stopIfTrue="1">
      <formula>$E34=""</formula>
    </cfRule>
  </conditionalFormatting>
  <conditionalFormatting sqref="G34">
    <cfRule type="expression" dxfId="1010" priority="253" stopIfTrue="1">
      <formula>$E34=""</formula>
    </cfRule>
  </conditionalFormatting>
  <conditionalFormatting sqref="H35">
    <cfRule type="expression" dxfId="1009" priority="252" stopIfTrue="1">
      <formula>$E35="List"</formula>
    </cfRule>
  </conditionalFormatting>
  <conditionalFormatting sqref="H35">
    <cfRule type="expression" dxfId="1008" priority="251" stopIfTrue="1">
      <formula>$E35="Text Length"</formula>
    </cfRule>
  </conditionalFormatting>
  <conditionalFormatting sqref="H36">
    <cfRule type="expression" dxfId="1007" priority="248" stopIfTrue="1">
      <formula>$E36="List"</formula>
    </cfRule>
  </conditionalFormatting>
  <conditionalFormatting sqref="H36">
    <cfRule type="expression" dxfId="1006" priority="247" stopIfTrue="1">
      <formula>$E36="Text Length"</formula>
    </cfRule>
  </conditionalFormatting>
  <conditionalFormatting sqref="H36">
    <cfRule type="expression" dxfId="1005" priority="246" stopIfTrue="1">
      <formula>$E36=""</formula>
    </cfRule>
  </conditionalFormatting>
  <conditionalFormatting sqref="G36">
    <cfRule type="expression" dxfId="1004" priority="245" stopIfTrue="1">
      <formula>$E36=""</formula>
    </cfRule>
  </conditionalFormatting>
  <conditionalFormatting sqref="H37">
    <cfRule type="expression" dxfId="1003" priority="244" stopIfTrue="1">
      <formula>$E37="List"</formula>
    </cfRule>
  </conditionalFormatting>
  <conditionalFormatting sqref="H37">
    <cfRule type="expression" dxfId="1002" priority="243" stopIfTrue="1">
      <formula>$E37="Text Length"</formula>
    </cfRule>
  </conditionalFormatting>
  <conditionalFormatting sqref="H37">
    <cfRule type="expression" dxfId="1001" priority="242" stopIfTrue="1">
      <formula>$E37=""</formula>
    </cfRule>
  </conditionalFormatting>
  <conditionalFormatting sqref="H38">
    <cfRule type="expression" dxfId="1000" priority="240" stopIfTrue="1">
      <formula>$E38="List"</formula>
    </cfRule>
  </conditionalFormatting>
  <conditionalFormatting sqref="H38">
    <cfRule type="expression" dxfId="999" priority="239" stopIfTrue="1">
      <formula>$E38="Text Length"</formula>
    </cfRule>
  </conditionalFormatting>
  <conditionalFormatting sqref="H38">
    <cfRule type="expression" dxfId="998" priority="238" stopIfTrue="1">
      <formula>$E38=""</formula>
    </cfRule>
  </conditionalFormatting>
  <conditionalFormatting sqref="H39">
    <cfRule type="expression" dxfId="997" priority="236" stopIfTrue="1">
      <formula>$E39="List"</formula>
    </cfRule>
  </conditionalFormatting>
  <conditionalFormatting sqref="H39">
    <cfRule type="expression" dxfId="996" priority="235" stopIfTrue="1">
      <formula>$E39="Text Length"</formula>
    </cfRule>
  </conditionalFormatting>
  <conditionalFormatting sqref="G39">
    <cfRule type="expression" dxfId="995" priority="233" stopIfTrue="1">
      <formula>$E39=""</formula>
    </cfRule>
  </conditionalFormatting>
  <conditionalFormatting sqref="H40">
    <cfRule type="expression" dxfId="994" priority="232" stopIfTrue="1">
      <formula>$E40="List"</formula>
    </cfRule>
  </conditionalFormatting>
  <conditionalFormatting sqref="H40">
    <cfRule type="expression" dxfId="993" priority="231" stopIfTrue="1">
      <formula>$E40="Text Length"</formula>
    </cfRule>
  </conditionalFormatting>
  <conditionalFormatting sqref="H40">
    <cfRule type="expression" dxfId="992" priority="230" stopIfTrue="1">
      <formula>$E40=""</formula>
    </cfRule>
  </conditionalFormatting>
  <conditionalFormatting sqref="G40">
    <cfRule type="expression" dxfId="991" priority="229" stopIfTrue="1">
      <formula>$E40=""</formula>
    </cfRule>
  </conditionalFormatting>
  <conditionalFormatting sqref="H41">
    <cfRule type="expression" dxfId="990" priority="228" stopIfTrue="1">
      <formula>$E41="List"</formula>
    </cfRule>
  </conditionalFormatting>
  <conditionalFormatting sqref="H41">
    <cfRule type="expression" dxfId="989" priority="227" stopIfTrue="1">
      <formula>$E41="Text Length"</formula>
    </cfRule>
  </conditionalFormatting>
  <conditionalFormatting sqref="H41">
    <cfRule type="expression" dxfId="988" priority="226" stopIfTrue="1">
      <formula>$E41=""</formula>
    </cfRule>
  </conditionalFormatting>
  <conditionalFormatting sqref="G41">
    <cfRule type="expression" dxfId="987" priority="225" stopIfTrue="1">
      <formula>$E41=""</formula>
    </cfRule>
  </conditionalFormatting>
  <conditionalFormatting sqref="H42">
    <cfRule type="expression" dxfId="986" priority="224" stopIfTrue="1">
      <formula>$E42="List"</formula>
    </cfRule>
  </conditionalFormatting>
  <conditionalFormatting sqref="H42">
    <cfRule type="expression" dxfId="985" priority="223" stopIfTrue="1">
      <formula>$E42="Text Length"</formula>
    </cfRule>
  </conditionalFormatting>
  <conditionalFormatting sqref="H42">
    <cfRule type="expression" dxfId="984" priority="222" stopIfTrue="1">
      <formula>$E42=""</formula>
    </cfRule>
  </conditionalFormatting>
  <conditionalFormatting sqref="G42">
    <cfRule type="expression" dxfId="983" priority="221" stopIfTrue="1">
      <formula>$E42=""</formula>
    </cfRule>
  </conditionalFormatting>
  <conditionalFormatting sqref="H43">
    <cfRule type="expression" dxfId="982" priority="220" stopIfTrue="1">
      <formula>$E43="List"</formula>
    </cfRule>
  </conditionalFormatting>
  <conditionalFormatting sqref="H43">
    <cfRule type="expression" dxfId="981" priority="219" stopIfTrue="1">
      <formula>$E43="Text Length"</formula>
    </cfRule>
  </conditionalFormatting>
  <conditionalFormatting sqref="H43">
    <cfRule type="expression" dxfId="980" priority="218" stopIfTrue="1">
      <formula>$E43=""</formula>
    </cfRule>
  </conditionalFormatting>
  <conditionalFormatting sqref="G43">
    <cfRule type="expression" dxfId="979" priority="217" stopIfTrue="1">
      <formula>$E43=""</formula>
    </cfRule>
  </conditionalFormatting>
  <conditionalFormatting sqref="H44">
    <cfRule type="expression" dxfId="978" priority="216" stopIfTrue="1">
      <formula>$E44="List"</formula>
    </cfRule>
  </conditionalFormatting>
  <conditionalFormatting sqref="H44">
    <cfRule type="expression" dxfId="977" priority="215" stopIfTrue="1">
      <formula>$E44="Text Length"</formula>
    </cfRule>
  </conditionalFormatting>
  <conditionalFormatting sqref="H44">
    <cfRule type="expression" dxfId="976" priority="214" stopIfTrue="1">
      <formula>$E44=""</formula>
    </cfRule>
  </conditionalFormatting>
  <conditionalFormatting sqref="G44">
    <cfRule type="expression" dxfId="975" priority="213" stopIfTrue="1">
      <formula>$E44=""</formula>
    </cfRule>
  </conditionalFormatting>
  <conditionalFormatting sqref="H45">
    <cfRule type="expression" dxfId="974" priority="212" stopIfTrue="1">
      <formula>$E45="List"</formula>
    </cfRule>
  </conditionalFormatting>
  <conditionalFormatting sqref="H45">
    <cfRule type="expression" dxfId="973" priority="211" stopIfTrue="1">
      <formula>$E45="Text Length"</formula>
    </cfRule>
  </conditionalFormatting>
  <conditionalFormatting sqref="G45">
    <cfRule type="expression" dxfId="972" priority="209" stopIfTrue="1">
      <formula>$E45=""</formula>
    </cfRule>
  </conditionalFormatting>
  <conditionalFormatting sqref="H46">
    <cfRule type="expression" dxfId="971" priority="208" stopIfTrue="1">
      <formula>$E46="List"</formula>
    </cfRule>
  </conditionalFormatting>
  <conditionalFormatting sqref="H46">
    <cfRule type="expression" dxfId="970" priority="207" stopIfTrue="1">
      <formula>$E46="Text Length"</formula>
    </cfRule>
  </conditionalFormatting>
  <conditionalFormatting sqref="H46">
    <cfRule type="expression" dxfId="969" priority="206" stopIfTrue="1">
      <formula>$E46=""</formula>
    </cfRule>
  </conditionalFormatting>
  <conditionalFormatting sqref="G46">
    <cfRule type="expression" dxfId="968" priority="205" stopIfTrue="1">
      <formula>$E46=""</formula>
    </cfRule>
  </conditionalFormatting>
  <conditionalFormatting sqref="H47">
    <cfRule type="expression" dxfId="967" priority="204" stopIfTrue="1">
      <formula>$E47="List"</formula>
    </cfRule>
  </conditionalFormatting>
  <conditionalFormatting sqref="H47">
    <cfRule type="expression" dxfId="966" priority="203" stopIfTrue="1">
      <formula>$E47="Text Length"</formula>
    </cfRule>
  </conditionalFormatting>
  <conditionalFormatting sqref="H47">
    <cfRule type="expression" dxfId="965" priority="202" stopIfTrue="1">
      <formula>$E47=""</formula>
    </cfRule>
  </conditionalFormatting>
  <conditionalFormatting sqref="G47">
    <cfRule type="expression" dxfId="964" priority="201" stopIfTrue="1">
      <formula>$E47=""</formula>
    </cfRule>
  </conditionalFormatting>
  <conditionalFormatting sqref="H48">
    <cfRule type="expression" dxfId="963" priority="200" stopIfTrue="1">
      <formula>$E48="List"</formula>
    </cfRule>
  </conditionalFormatting>
  <conditionalFormatting sqref="H48">
    <cfRule type="expression" dxfId="962" priority="199" stopIfTrue="1">
      <formula>$E48="Text Length"</formula>
    </cfRule>
  </conditionalFormatting>
  <conditionalFormatting sqref="H48">
    <cfRule type="expression" dxfId="961" priority="198" stopIfTrue="1">
      <formula>$E48=""</formula>
    </cfRule>
  </conditionalFormatting>
  <conditionalFormatting sqref="G48">
    <cfRule type="expression" dxfId="960" priority="197" stopIfTrue="1">
      <formula>$E48=""</formula>
    </cfRule>
  </conditionalFormatting>
  <conditionalFormatting sqref="H49">
    <cfRule type="expression" dxfId="959" priority="196" stopIfTrue="1">
      <formula>$E49="List"</formula>
    </cfRule>
  </conditionalFormatting>
  <conditionalFormatting sqref="H49">
    <cfRule type="expression" dxfId="958" priority="195" stopIfTrue="1">
      <formula>$E49="Text Length"</formula>
    </cfRule>
  </conditionalFormatting>
  <conditionalFormatting sqref="H49">
    <cfRule type="expression" dxfId="957" priority="194" stopIfTrue="1">
      <formula>$E49=""</formula>
    </cfRule>
  </conditionalFormatting>
  <conditionalFormatting sqref="G49">
    <cfRule type="expression" dxfId="956" priority="193" stopIfTrue="1">
      <formula>$E49=""</formula>
    </cfRule>
  </conditionalFormatting>
  <conditionalFormatting sqref="H50">
    <cfRule type="expression" dxfId="955" priority="186" stopIfTrue="1">
      <formula>$E50=""</formula>
    </cfRule>
    <cfRule type="expression" dxfId="954" priority="187" stopIfTrue="1">
      <formula>$E50="Text Length"</formula>
    </cfRule>
    <cfRule type="expression" dxfId="953" priority="188" stopIfTrue="1">
      <formula>$E50="List"</formula>
    </cfRule>
  </conditionalFormatting>
  <conditionalFormatting sqref="G50">
    <cfRule type="expression" dxfId="952" priority="185" stopIfTrue="1">
      <formula>$E50=""</formula>
    </cfRule>
  </conditionalFormatting>
  <conditionalFormatting sqref="H51">
    <cfRule type="expression" dxfId="951" priority="182" stopIfTrue="1">
      <formula>$E51=""</formula>
    </cfRule>
    <cfRule type="expression" dxfId="950" priority="183" stopIfTrue="1">
      <formula>$E51="Text Length"</formula>
    </cfRule>
    <cfRule type="expression" dxfId="949" priority="184" stopIfTrue="1">
      <formula>$E51="List"</formula>
    </cfRule>
  </conditionalFormatting>
  <conditionalFormatting sqref="G51">
    <cfRule type="expression" dxfId="948" priority="181" stopIfTrue="1">
      <formula>$E51=""</formula>
    </cfRule>
  </conditionalFormatting>
  <conditionalFormatting sqref="H52">
    <cfRule type="expression" dxfId="947" priority="178" stopIfTrue="1">
      <formula>$E52=""</formula>
    </cfRule>
    <cfRule type="expression" dxfId="946" priority="179" stopIfTrue="1">
      <formula>$E52="Text Length"</formula>
    </cfRule>
    <cfRule type="expression" dxfId="945" priority="180" stopIfTrue="1">
      <formula>$E52="List"</formula>
    </cfRule>
  </conditionalFormatting>
  <conditionalFormatting sqref="G52">
    <cfRule type="expression" dxfId="944" priority="177" stopIfTrue="1">
      <formula>$E52=""</formula>
    </cfRule>
  </conditionalFormatting>
  <conditionalFormatting sqref="H53">
    <cfRule type="expression" dxfId="943" priority="174" stopIfTrue="1">
      <formula>$E53=""</formula>
    </cfRule>
    <cfRule type="expression" dxfId="942" priority="175" stopIfTrue="1">
      <formula>$E53="Text Length"</formula>
    </cfRule>
    <cfRule type="expression" dxfId="941" priority="176" stopIfTrue="1">
      <formula>$E53="List"</formula>
    </cfRule>
  </conditionalFormatting>
  <conditionalFormatting sqref="G53">
    <cfRule type="expression" dxfId="940" priority="173" stopIfTrue="1">
      <formula>$E53=""</formula>
    </cfRule>
  </conditionalFormatting>
  <conditionalFormatting sqref="H54">
    <cfRule type="expression" dxfId="939" priority="170" stopIfTrue="1">
      <formula>$E54=""</formula>
    </cfRule>
    <cfRule type="expression" dxfId="938" priority="171" stopIfTrue="1">
      <formula>$E54="Text Length"</formula>
    </cfRule>
    <cfRule type="expression" dxfId="937" priority="172" stopIfTrue="1">
      <formula>$E54="List"</formula>
    </cfRule>
  </conditionalFormatting>
  <conditionalFormatting sqref="G54">
    <cfRule type="expression" dxfId="936" priority="169" stopIfTrue="1">
      <formula>$E54=""</formula>
    </cfRule>
  </conditionalFormatting>
  <conditionalFormatting sqref="H55">
    <cfRule type="expression" dxfId="935" priority="168" stopIfTrue="1">
      <formula>$E55="List"</formula>
    </cfRule>
  </conditionalFormatting>
  <conditionalFormatting sqref="H55">
    <cfRule type="expression" dxfId="934" priority="167" stopIfTrue="1">
      <formula>$E55="Text Length"</formula>
    </cfRule>
  </conditionalFormatting>
  <conditionalFormatting sqref="H55">
    <cfRule type="expression" dxfId="933" priority="166" stopIfTrue="1">
      <formula>$E55=""</formula>
    </cfRule>
  </conditionalFormatting>
  <conditionalFormatting sqref="G55">
    <cfRule type="expression" dxfId="932" priority="165" stopIfTrue="1">
      <formula>$E55=""</formula>
    </cfRule>
  </conditionalFormatting>
  <conditionalFormatting sqref="H56">
    <cfRule type="expression" dxfId="931" priority="164" stopIfTrue="1">
      <formula>$E56="List"</formula>
    </cfRule>
  </conditionalFormatting>
  <conditionalFormatting sqref="H56">
    <cfRule type="expression" dxfId="930" priority="163" stopIfTrue="1">
      <formula>$E56="Text Length"</formula>
    </cfRule>
  </conditionalFormatting>
  <conditionalFormatting sqref="H56">
    <cfRule type="expression" dxfId="929" priority="162" stopIfTrue="1">
      <formula>$E56=""</formula>
    </cfRule>
  </conditionalFormatting>
  <conditionalFormatting sqref="G56">
    <cfRule type="expression" dxfId="928" priority="161" stopIfTrue="1">
      <formula>$E56=""</formula>
    </cfRule>
  </conditionalFormatting>
  <conditionalFormatting sqref="H57">
    <cfRule type="expression" dxfId="927" priority="160" stopIfTrue="1">
      <formula>$E57="List"</formula>
    </cfRule>
  </conditionalFormatting>
  <conditionalFormatting sqref="H57">
    <cfRule type="expression" dxfId="926" priority="159" stopIfTrue="1">
      <formula>$E57="Text Length"</formula>
    </cfRule>
  </conditionalFormatting>
  <conditionalFormatting sqref="G57">
    <cfRule type="expression" dxfId="925" priority="157" stopIfTrue="1">
      <formula>$E57=""</formula>
    </cfRule>
  </conditionalFormatting>
  <conditionalFormatting sqref="H58">
    <cfRule type="expression" dxfId="924" priority="156" stopIfTrue="1">
      <formula>$E58="List"</formula>
    </cfRule>
  </conditionalFormatting>
  <conditionalFormatting sqref="H58">
    <cfRule type="expression" dxfId="923" priority="155" stopIfTrue="1">
      <formula>$E58="Text Length"</formula>
    </cfRule>
  </conditionalFormatting>
  <conditionalFormatting sqref="H58">
    <cfRule type="expression" dxfId="922" priority="154" stopIfTrue="1">
      <formula>$E58=""</formula>
    </cfRule>
  </conditionalFormatting>
  <conditionalFormatting sqref="G58">
    <cfRule type="expression" dxfId="921" priority="153" stopIfTrue="1">
      <formula>$E58=""</formula>
    </cfRule>
  </conditionalFormatting>
  <conditionalFormatting sqref="H59">
    <cfRule type="expression" dxfId="920" priority="152" stopIfTrue="1">
      <formula>$E59="List"</formula>
    </cfRule>
  </conditionalFormatting>
  <conditionalFormatting sqref="H59">
    <cfRule type="expression" dxfId="919" priority="151" stopIfTrue="1">
      <formula>$E59="Text Length"</formula>
    </cfRule>
  </conditionalFormatting>
  <conditionalFormatting sqref="H59">
    <cfRule type="expression" dxfId="918" priority="150" stopIfTrue="1">
      <formula>$E59=""</formula>
    </cfRule>
  </conditionalFormatting>
  <conditionalFormatting sqref="G59">
    <cfRule type="expression" dxfId="917" priority="149" stopIfTrue="1">
      <formula>$E59=""</formula>
    </cfRule>
  </conditionalFormatting>
  <conditionalFormatting sqref="H60">
    <cfRule type="expression" dxfId="916" priority="148" stopIfTrue="1">
      <formula>$E60="List"</formula>
    </cfRule>
  </conditionalFormatting>
  <conditionalFormatting sqref="H60">
    <cfRule type="expression" dxfId="915" priority="147" stopIfTrue="1">
      <formula>$E60="Text Length"</formula>
    </cfRule>
  </conditionalFormatting>
  <conditionalFormatting sqref="H60">
    <cfRule type="expression" dxfId="914" priority="146" stopIfTrue="1">
      <formula>$E60=""</formula>
    </cfRule>
  </conditionalFormatting>
  <conditionalFormatting sqref="G60">
    <cfRule type="expression" dxfId="913" priority="145" stopIfTrue="1">
      <formula>$E60=""</formula>
    </cfRule>
  </conditionalFormatting>
  <conditionalFormatting sqref="H61">
    <cfRule type="expression" dxfId="912" priority="144" stopIfTrue="1">
      <formula>$E61="List"</formula>
    </cfRule>
  </conditionalFormatting>
  <conditionalFormatting sqref="H61">
    <cfRule type="expression" dxfId="911" priority="143" stopIfTrue="1">
      <formula>$E61="Text Length"</formula>
    </cfRule>
  </conditionalFormatting>
  <conditionalFormatting sqref="H61">
    <cfRule type="expression" dxfId="910" priority="142" stopIfTrue="1">
      <formula>$E61=""</formula>
    </cfRule>
  </conditionalFormatting>
  <conditionalFormatting sqref="G61">
    <cfRule type="expression" dxfId="909" priority="141" stopIfTrue="1">
      <formula>$E61=""</formula>
    </cfRule>
  </conditionalFormatting>
  <conditionalFormatting sqref="H62">
    <cfRule type="expression" dxfId="908" priority="140" stopIfTrue="1">
      <formula>$E62="List"</formula>
    </cfRule>
  </conditionalFormatting>
  <conditionalFormatting sqref="H62">
    <cfRule type="expression" dxfId="907" priority="139" stopIfTrue="1">
      <formula>$E62="Text Length"</formula>
    </cfRule>
  </conditionalFormatting>
  <conditionalFormatting sqref="H62">
    <cfRule type="expression" dxfId="906" priority="138" stopIfTrue="1">
      <formula>$E62=""</formula>
    </cfRule>
  </conditionalFormatting>
  <conditionalFormatting sqref="G62">
    <cfRule type="expression" dxfId="905" priority="137" stopIfTrue="1">
      <formula>$E62=""</formula>
    </cfRule>
  </conditionalFormatting>
  <conditionalFormatting sqref="H63">
    <cfRule type="expression" dxfId="904" priority="136" stopIfTrue="1">
      <formula>$E63="List"</formula>
    </cfRule>
  </conditionalFormatting>
  <conditionalFormatting sqref="H63">
    <cfRule type="expression" dxfId="903" priority="135" stopIfTrue="1">
      <formula>$E63="Text Length"</formula>
    </cfRule>
  </conditionalFormatting>
  <conditionalFormatting sqref="H63">
    <cfRule type="expression" dxfId="902" priority="134" stopIfTrue="1">
      <formula>$E63=""</formula>
    </cfRule>
  </conditionalFormatting>
  <conditionalFormatting sqref="G63">
    <cfRule type="expression" dxfId="901" priority="133" stopIfTrue="1">
      <formula>$E63=""</formula>
    </cfRule>
  </conditionalFormatting>
  <conditionalFormatting sqref="H64">
    <cfRule type="expression" dxfId="900" priority="132" stopIfTrue="1">
      <formula>$E64="List"</formula>
    </cfRule>
  </conditionalFormatting>
  <conditionalFormatting sqref="H64">
    <cfRule type="expression" dxfId="899" priority="131" stopIfTrue="1">
      <formula>$E64="Text Length"</formula>
    </cfRule>
  </conditionalFormatting>
  <conditionalFormatting sqref="H64">
    <cfRule type="expression" dxfId="898" priority="130" stopIfTrue="1">
      <formula>$E64=""</formula>
    </cfRule>
  </conditionalFormatting>
  <conditionalFormatting sqref="H65">
    <cfRule type="expression" dxfId="897" priority="128" stopIfTrue="1">
      <formula>$E65="List"</formula>
    </cfRule>
  </conditionalFormatting>
  <conditionalFormatting sqref="H65">
    <cfRule type="expression" dxfId="896" priority="127" stopIfTrue="1">
      <formula>$E65="Text Length"</formula>
    </cfRule>
  </conditionalFormatting>
  <conditionalFormatting sqref="H65">
    <cfRule type="expression" dxfId="895" priority="126" stopIfTrue="1">
      <formula>$E65=""</formula>
    </cfRule>
  </conditionalFormatting>
  <conditionalFormatting sqref="G65">
    <cfRule type="expression" dxfId="894" priority="125" stopIfTrue="1">
      <formula>$E65=""</formula>
    </cfRule>
  </conditionalFormatting>
  <conditionalFormatting sqref="H66">
    <cfRule type="expression" dxfId="893" priority="124" stopIfTrue="1">
      <formula>$E66="List"</formula>
    </cfRule>
  </conditionalFormatting>
  <conditionalFormatting sqref="H66">
    <cfRule type="expression" dxfId="892" priority="123" stopIfTrue="1">
      <formula>$E66="Text Length"</formula>
    </cfRule>
  </conditionalFormatting>
  <conditionalFormatting sqref="G66">
    <cfRule type="expression" dxfId="891" priority="121" stopIfTrue="1">
      <formula>$E66=""</formula>
    </cfRule>
  </conditionalFormatting>
  <conditionalFormatting sqref="H67">
    <cfRule type="expression" dxfId="890" priority="120" stopIfTrue="1">
      <formula>$E67="List"</formula>
    </cfRule>
  </conditionalFormatting>
  <conditionalFormatting sqref="H67">
    <cfRule type="expression" dxfId="889" priority="119" stopIfTrue="1">
      <formula>$E67="Text Length"</formula>
    </cfRule>
  </conditionalFormatting>
  <conditionalFormatting sqref="H67">
    <cfRule type="expression" dxfId="888" priority="118" stopIfTrue="1">
      <formula>$E67=""</formula>
    </cfRule>
  </conditionalFormatting>
  <conditionalFormatting sqref="G67">
    <cfRule type="expression" dxfId="887" priority="117" stopIfTrue="1">
      <formula>$E67=""</formula>
    </cfRule>
  </conditionalFormatting>
  <conditionalFormatting sqref="H68">
    <cfRule type="expression" dxfId="886" priority="116" stopIfTrue="1">
      <formula>$E68="List"</formula>
    </cfRule>
  </conditionalFormatting>
  <conditionalFormatting sqref="H68">
    <cfRule type="expression" dxfId="885" priority="115" stopIfTrue="1">
      <formula>$E68="Text Length"</formula>
    </cfRule>
  </conditionalFormatting>
  <conditionalFormatting sqref="H68">
    <cfRule type="expression" dxfId="884" priority="114" stopIfTrue="1">
      <formula>$E68=""</formula>
    </cfRule>
  </conditionalFormatting>
  <conditionalFormatting sqref="G68">
    <cfRule type="expression" dxfId="883" priority="113" stopIfTrue="1">
      <formula>$E68=""</formula>
    </cfRule>
  </conditionalFormatting>
  <conditionalFormatting sqref="H69">
    <cfRule type="expression" dxfId="882" priority="112" stopIfTrue="1">
      <formula>$E69="List"</formula>
    </cfRule>
  </conditionalFormatting>
  <conditionalFormatting sqref="H69">
    <cfRule type="expression" dxfId="881" priority="111" stopIfTrue="1">
      <formula>$E69="Text Length"</formula>
    </cfRule>
  </conditionalFormatting>
  <conditionalFormatting sqref="G69">
    <cfRule type="expression" dxfId="880" priority="109" stopIfTrue="1">
      <formula>$E69=""</formula>
    </cfRule>
  </conditionalFormatting>
  <conditionalFormatting sqref="H70">
    <cfRule type="expression" dxfId="879" priority="108" stopIfTrue="1">
      <formula>$E70="List"</formula>
    </cfRule>
  </conditionalFormatting>
  <conditionalFormatting sqref="H70">
    <cfRule type="expression" dxfId="878" priority="107" stopIfTrue="1">
      <formula>$E70="Text Length"</formula>
    </cfRule>
  </conditionalFormatting>
  <conditionalFormatting sqref="H70">
    <cfRule type="expression" dxfId="877" priority="106" stopIfTrue="1">
      <formula>$E70=""</formula>
    </cfRule>
  </conditionalFormatting>
  <conditionalFormatting sqref="H71">
    <cfRule type="expression" dxfId="876" priority="104" stopIfTrue="1">
      <formula>$E71="List"</formula>
    </cfRule>
  </conditionalFormatting>
  <conditionalFormatting sqref="H71">
    <cfRule type="expression" dxfId="875" priority="103" stopIfTrue="1">
      <formula>$E71="Text Length"</formula>
    </cfRule>
  </conditionalFormatting>
  <conditionalFormatting sqref="G71">
    <cfRule type="expression" dxfId="874" priority="101" stopIfTrue="1">
      <formula>$E71=""</formula>
    </cfRule>
  </conditionalFormatting>
  <conditionalFormatting sqref="H72">
    <cfRule type="expression" dxfId="873" priority="100" stopIfTrue="1">
      <formula>$E72="List"</formula>
    </cfRule>
  </conditionalFormatting>
  <conditionalFormatting sqref="H72">
    <cfRule type="expression" dxfId="872" priority="99" stopIfTrue="1">
      <formula>$E72="Text Length"</formula>
    </cfRule>
  </conditionalFormatting>
  <conditionalFormatting sqref="H72">
    <cfRule type="expression" dxfId="871" priority="98" stopIfTrue="1">
      <formula>$E72=""</formula>
    </cfRule>
  </conditionalFormatting>
  <conditionalFormatting sqref="G72">
    <cfRule type="expression" dxfId="870" priority="97" stopIfTrue="1">
      <formula>$E72=""</formula>
    </cfRule>
  </conditionalFormatting>
  <conditionalFormatting sqref="H73">
    <cfRule type="expression" dxfId="869" priority="96" stopIfTrue="1">
      <formula>$E73="List"</formula>
    </cfRule>
  </conditionalFormatting>
  <conditionalFormatting sqref="H73">
    <cfRule type="expression" dxfId="868" priority="95" stopIfTrue="1">
      <formula>$E73="Text Length"</formula>
    </cfRule>
  </conditionalFormatting>
  <conditionalFormatting sqref="H73">
    <cfRule type="expression" dxfId="867" priority="94" stopIfTrue="1">
      <formula>$E73=""</formula>
    </cfRule>
  </conditionalFormatting>
  <conditionalFormatting sqref="G73">
    <cfRule type="expression" dxfId="866" priority="93" stopIfTrue="1">
      <formula>$E73=""</formula>
    </cfRule>
  </conditionalFormatting>
  <conditionalFormatting sqref="H74">
    <cfRule type="expression" dxfId="865" priority="92" stopIfTrue="1">
      <formula>$E74="List"</formula>
    </cfRule>
  </conditionalFormatting>
  <conditionalFormatting sqref="H74">
    <cfRule type="expression" dxfId="864" priority="91" stopIfTrue="1">
      <formula>$E74="Text Length"</formula>
    </cfRule>
  </conditionalFormatting>
  <conditionalFormatting sqref="H74">
    <cfRule type="expression" dxfId="863" priority="90" stopIfTrue="1">
      <formula>$E74=""</formula>
    </cfRule>
  </conditionalFormatting>
  <conditionalFormatting sqref="H75">
    <cfRule type="expression" dxfId="862" priority="88" stopIfTrue="1">
      <formula>$E75="List"</formula>
    </cfRule>
  </conditionalFormatting>
  <conditionalFormatting sqref="H75">
    <cfRule type="expression" dxfId="861" priority="87" stopIfTrue="1">
      <formula>$E75="Text Length"</formula>
    </cfRule>
  </conditionalFormatting>
  <conditionalFormatting sqref="G75">
    <cfRule type="expression" dxfId="860" priority="85" stopIfTrue="1">
      <formula>$E75=""</formula>
    </cfRule>
  </conditionalFormatting>
  <conditionalFormatting sqref="H76">
    <cfRule type="expression" dxfId="859" priority="84" stopIfTrue="1">
      <formula>$E76="List"</formula>
    </cfRule>
  </conditionalFormatting>
  <conditionalFormatting sqref="H76">
    <cfRule type="expression" dxfId="858" priority="83" stopIfTrue="1">
      <formula>$E76="Text Length"</formula>
    </cfRule>
  </conditionalFormatting>
  <conditionalFormatting sqref="H76">
    <cfRule type="expression" dxfId="857" priority="82" stopIfTrue="1">
      <formula>$E76=""</formula>
    </cfRule>
  </conditionalFormatting>
  <conditionalFormatting sqref="H77">
    <cfRule type="expression" dxfId="856" priority="80" stopIfTrue="1">
      <formula>$E77="List"</formula>
    </cfRule>
  </conditionalFormatting>
  <conditionalFormatting sqref="H77">
    <cfRule type="expression" dxfId="855" priority="79" stopIfTrue="1">
      <formula>$E77="Text Length"</formula>
    </cfRule>
  </conditionalFormatting>
  <conditionalFormatting sqref="H77">
    <cfRule type="expression" dxfId="854" priority="78" stopIfTrue="1">
      <formula>$E77=""</formula>
    </cfRule>
  </conditionalFormatting>
  <conditionalFormatting sqref="H78">
    <cfRule type="expression" dxfId="853" priority="76" stopIfTrue="1">
      <formula>$E78="List"</formula>
    </cfRule>
  </conditionalFormatting>
  <conditionalFormatting sqref="H78">
    <cfRule type="expression" dxfId="852" priority="75" stopIfTrue="1">
      <formula>$E78="Text Length"</formula>
    </cfRule>
  </conditionalFormatting>
  <conditionalFormatting sqref="H78">
    <cfRule type="expression" dxfId="851" priority="74" stopIfTrue="1">
      <formula>$E78=""</formula>
    </cfRule>
  </conditionalFormatting>
  <conditionalFormatting sqref="G78">
    <cfRule type="expression" dxfId="850" priority="73" stopIfTrue="1">
      <formula>$E78=""</formula>
    </cfRule>
  </conditionalFormatting>
  <conditionalFormatting sqref="H79">
    <cfRule type="expression" dxfId="849" priority="68" stopIfTrue="1">
      <formula>$E79="List"</formula>
    </cfRule>
  </conditionalFormatting>
  <conditionalFormatting sqref="H79">
    <cfRule type="expression" dxfId="848" priority="67" stopIfTrue="1">
      <formula>$E79="Text Length"</formula>
    </cfRule>
  </conditionalFormatting>
  <conditionalFormatting sqref="H79">
    <cfRule type="expression" dxfId="847" priority="66" stopIfTrue="1">
      <formula>$E79=""</formula>
    </cfRule>
  </conditionalFormatting>
  <conditionalFormatting sqref="G79">
    <cfRule type="expression" dxfId="846" priority="65" stopIfTrue="1">
      <formula>$E79=""</formula>
    </cfRule>
  </conditionalFormatting>
  <conditionalFormatting sqref="H80">
    <cfRule type="expression" dxfId="845" priority="64" stopIfTrue="1">
      <formula>$E80="List"</formula>
    </cfRule>
  </conditionalFormatting>
  <conditionalFormatting sqref="H80">
    <cfRule type="expression" dxfId="844" priority="63" stopIfTrue="1">
      <formula>$E80="Text Length"</formula>
    </cfRule>
  </conditionalFormatting>
  <conditionalFormatting sqref="H80">
    <cfRule type="expression" dxfId="843" priority="62" stopIfTrue="1">
      <formula>$E80=""</formula>
    </cfRule>
  </conditionalFormatting>
  <conditionalFormatting sqref="G80">
    <cfRule type="expression" dxfId="842" priority="61" stopIfTrue="1">
      <formula>$E80=""</formula>
    </cfRule>
  </conditionalFormatting>
  <conditionalFormatting sqref="H81">
    <cfRule type="expression" dxfId="841" priority="60" stopIfTrue="1">
      <formula>$E81="List"</formula>
    </cfRule>
  </conditionalFormatting>
  <conditionalFormatting sqref="H81">
    <cfRule type="expression" dxfId="840" priority="59" stopIfTrue="1">
      <formula>$E81="Text Length"</formula>
    </cfRule>
  </conditionalFormatting>
  <conditionalFormatting sqref="H81">
    <cfRule type="expression" dxfId="839" priority="58" stopIfTrue="1">
      <formula>$E81=""</formula>
    </cfRule>
  </conditionalFormatting>
  <conditionalFormatting sqref="G81">
    <cfRule type="expression" dxfId="838" priority="57" stopIfTrue="1">
      <formula>$E81=""</formula>
    </cfRule>
  </conditionalFormatting>
  <conditionalFormatting sqref="H82">
    <cfRule type="expression" dxfId="837" priority="56" stopIfTrue="1">
      <formula>$E82="List"</formula>
    </cfRule>
  </conditionalFormatting>
  <conditionalFormatting sqref="H82">
    <cfRule type="expression" dxfId="836" priority="55" stopIfTrue="1">
      <formula>$E82="Text Length"</formula>
    </cfRule>
  </conditionalFormatting>
  <conditionalFormatting sqref="H82">
    <cfRule type="expression" dxfId="835" priority="54" stopIfTrue="1">
      <formula>$E82=""</formula>
    </cfRule>
  </conditionalFormatting>
  <conditionalFormatting sqref="G82">
    <cfRule type="expression" dxfId="834" priority="53" stopIfTrue="1">
      <formula>$E82=""</formula>
    </cfRule>
  </conditionalFormatting>
  <conditionalFormatting sqref="H83">
    <cfRule type="expression" dxfId="833" priority="52" stopIfTrue="1">
      <formula>$E83="List"</formula>
    </cfRule>
  </conditionalFormatting>
  <conditionalFormatting sqref="H83">
    <cfRule type="expression" dxfId="832" priority="51" stopIfTrue="1">
      <formula>$E83="Text Length"</formula>
    </cfRule>
  </conditionalFormatting>
  <conditionalFormatting sqref="H83">
    <cfRule type="expression" dxfId="831" priority="50" stopIfTrue="1">
      <formula>$E83=""</formula>
    </cfRule>
  </conditionalFormatting>
  <conditionalFormatting sqref="G83">
    <cfRule type="expression" dxfId="830" priority="49" stopIfTrue="1">
      <formula>$E83=""</formula>
    </cfRule>
  </conditionalFormatting>
  <conditionalFormatting sqref="H84">
    <cfRule type="expression" dxfId="829" priority="48" stopIfTrue="1">
      <formula>$E84="List"</formula>
    </cfRule>
  </conditionalFormatting>
  <conditionalFormatting sqref="H84">
    <cfRule type="expression" dxfId="828" priority="47" stopIfTrue="1">
      <formula>$E84="Text Length"</formula>
    </cfRule>
  </conditionalFormatting>
  <conditionalFormatting sqref="H84">
    <cfRule type="expression" dxfId="827" priority="46" stopIfTrue="1">
      <formula>$E84=""</formula>
    </cfRule>
  </conditionalFormatting>
  <conditionalFormatting sqref="G84">
    <cfRule type="expression" dxfId="826" priority="45" stopIfTrue="1">
      <formula>$E84=""</formula>
    </cfRule>
  </conditionalFormatting>
  <conditionalFormatting sqref="H85">
    <cfRule type="expression" dxfId="825" priority="44" stopIfTrue="1">
      <formula>$E85="List"</formula>
    </cfRule>
  </conditionalFormatting>
  <conditionalFormatting sqref="H85">
    <cfRule type="expression" dxfId="824" priority="43" stopIfTrue="1">
      <formula>$E85="Text Length"</formula>
    </cfRule>
  </conditionalFormatting>
  <conditionalFormatting sqref="H85">
    <cfRule type="expression" dxfId="823" priority="42" stopIfTrue="1">
      <formula>$E85=""</formula>
    </cfRule>
  </conditionalFormatting>
  <conditionalFormatting sqref="G85">
    <cfRule type="expression" dxfId="822" priority="41" stopIfTrue="1">
      <formula>$E85=""</formula>
    </cfRule>
  </conditionalFormatting>
  <conditionalFormatting sqref="H86">
    <cfRule type="expression" dxfId="821" priority="28" stopIfTrue="1">
      <formula>$E86="List"</formula>
    </cfRule>
  </conditionalFormatting>
  <conditionalFormatting sqref="H86">
    <cfRule type="expression" dxfId="820" priority="27" stopIfTrue="1">
      <formula>$E86="Text Length"</formula>
    </cfRule>
  </conditionalFormatting>
  <conditionalFormatting sqref="H86">
    <cfRule type="expression" dxfId="819" priority="26" stopIfTrue="1">
      <formula>$E86=""</formula>
    </cfRule>
  </conditionalFormatting>
  <conditionalFormatting sqref="G86">
    <cfRule type="expression" dxfId="818" priority="25" stopIfTrue="1">
      <formula>$E86=""</formula>
    </cfRule>
  </conditionalFormatting>
  <conditionalFormatting sqref="H87">
    <cfRule type="expression" dxfId="817" priority="24" stopIfTrue="1">
      <formula>$E87="List"</formula>
    </cfRule>
  </conditionalFormatting>
  <conditionalFormatting sqref="H87">
    <cfRule type="expression" dxfId="816" priority="23" stopIfTrue="1">
      <formula>$E87="Text Length"</formula>
    </cfRule>
  </conditionalFormatting>
  <conditionalFormatting sqref="H87">
    <cfRule type="expression" dxfId="815" priority="22" stopIfTrue="1">
      <formula>$E87=""</formula>
    </cfRule>
  </conditionalFormatting>
  <conditionalFormatting sqref="G87">
    <cfRule type="expression" dxfId="814" priority="21" stopIfTrue="1">
      <formula>$E87=""</formula>
    </cfRule>
  </conditionalFormatting>
  <conditionalFormatting sqref="H88">
    <cfRule type="expression" dxfId="813" priority="20" stopIfTrue="1">
      <formula>$E88="List"</formula>
    </cfRule>
  </conditionalFormatting>
  <conditionalFormatting sqref="H88">
    <cfRule type="expression" dxfId="812" priority="19" stopIfTrue="1">
      <formula>$E88="Text Length"</formula>
    </cfRule>
  </conditionalFormatting>
  <conditionalFormatting sqref="H88">
    <cfRule type="expression" dxfId="811" priority="18" stopIfTrue="1">
      <formula>$E88=""</formula>
    </cfRule>
  </conditionalFormatting>
  <conditionalFormatting sqref="G88">
    <cfRule type="expression" dxfId="810" priority="17" stopIfTrue="1">
      <formula>$E88=""</formula>
    </cfRule>
  </conditionalFormatting>
  <dataValidations count="1">
    <dataValidation type="list" allowBlank="1" showInputMessage="1" showErrorMessage="1" sqref="E24 E25 E26 E27 E28 E29 E30 E31 E32 E33 E34 E35 E36 E37 E38 E39 E40 E41 E42 E43 E44 E45 E46 E47 E48 E49 E50 E51 E52 E53 E54 E55 E56 E57 E58 E59 E60 E61 E62 E63 E64 E65 E66 E67 E68 E69 E70 E71 E72 E73 E74 E75 E76 E77 E78 E79 E80 E81 E82 E83 E84 E85 E86 E87 E88">
      <formula1>"List,Percentage,Whole Number,Text Length"</formula1>
    </dataValidation>
  </dataValidations>
  <hyperlinks>
    <hyperlink ref="E3" r:id="rId1"/>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rgb="FFFFFF00"/>
  </sheetPr>
  <dimension ref="A1:O46"/>
  <sheetViews>
    <sheetView topLeftCell="A7" workbookViewId="0">
      <selection activeCell="J40" sqref="J40"/>
    </sheetView>
  </sheetViews>
  <sheetFormatPr defaultColWidth="11.26953125" defaultRowHeight="13.8"/>
  <cols>
    <col min="1" max="1" width="1" customWidth="1"/>
    <col min="2" max="2" width="0.7265625" customWidth="1"/>
    <col min="3" max="3" width="19.36328125" customWidth="1"/>
    <col min="4" max="4" width="0.6328125" customWidth="1"/>
    <col min="5" max="5" width="17.36328125" customWidth="1"/>
    <col min="6" max="6" width="0.6328125" customWidth="1"/>
    <col min="7" max="15" width="17.36328125" customWidth="1"/>
  </cols>
  <sheetData>
    <row r="1" spans="1:15" s="1254" customFormat="1">
      <c r="A1" s="1255" t="s">
        <v>3253</v>
      </c>
      <c r="D1" s="1255"/>
      <c r="F1" s="1255"/>
    </row>
    <row r="2" spans="1:15" s="1251" customFormat="1" ht="17.25" customHeight="1">
      <c r="C2" s="1253" t="s">
        <v>3252</v>
      </c>
      <c r="E2" s="1252"/>
      <c r="G2" s="1252"/>
      <c r="H2" s="1252"/>
      <c r="J2" s="1252"/>
      <c r="K2" s="1252"/>
      <c r="L2" s="1252"/>
      <c r="M2" s="1252"/>
      <c r="N2" s="1252"/>
      <c r="O2" s="1252"/>
    </row>
    <row r="3" spans="1:15" s="1251" customFormat="1">
      <c r="C3" s="1252"/>
      <c r="E3" s="1252"/>
      <c r="G3" s="1252"/>
      <c r="H3" s="1252"/>
      <c r="J3" s="1252"/>
      <c r="K3" s="1252"/>
      <c r="L3" s="1252"/>
      <c r="M3" s="1252"/>
      <c r="N3" s="1252"/>
      <c r="O3" s="1252"/>
    </row>
    <row r="4" spans="1:15" s="1251" customFormat="1">
      <c r="C4" s="1251" t="s">
        <v>358</v>
      </c>
      <c r="E4" s="145" t="s">
        <v>382</v>
      </c>
      <c r="G4" s="145"/>
      <c r="H4" s="146"/>
      <c r="J4" s="146"/>
      <c r="K4" s="146"/>
      <c r="L4" s="146"/>
      <c r="M4" s="146"/>
      <c r="N4" s="146"/>
      <c r="O4" s="146"/>
    </row>
    <row r="5" spans="1:15" s="1241" customFormat="1"/>
    <row r="6" spans="1:15" s="1238" customFormat="1">
      <c r="A6" s="1240"/>
      <c r="C6" s="1238" t="s">
        <v>356</v>
      </c>
      <c r="D6" s="1240"/>
      <c r="F6" s="1240"/>
      <c r="H6" s="1239"/>
      <c r="I6" s="1239"/>
      <c r="J6" s="1239"/>
      <c r="K6" s="1239"/>
      <c r="L6" s="1239"/>
      <c r="M6" s="1239"/>
      <c r="N6" s="1239"/>
      <c r="O6" s="1239"/>
    </row>
    <row r="7" spans="1:15" s="1241" customFormat="1"/>
    <row r="8" spans="1:15" s="1241" customFormat="1">
      <c r="C8" s="1250" t="s">
        <v>383</v>
      </c>
      <c r="E8" s="1250"/>
      <c r="G8" s="1250"/>
      <c r="H8" s="1249" t="s">
        <v>384</v>
      </c>
    </row>
    <row r="9" spans="1:15" s="1241" customFormat="1">
      <c r="C9" s="1248"/>
      <c r="E9" s="1244" t="s">
        <v>385</v>
      </c>
      <c r="H9" s="1247"/>
      <c r="I9" s="1244" t="s">
        <v>386</v>
      </c>
    </row>
    <row r="10" spans="1:15" s="1241" customFormat="1">
      <c r="C10" s="1246"/>
      <c r="E10" s="1244" t="s">
        <v>354</v>
      </c>
    </row>
    <row r="11" spans="1:15" s="1241" customFormat="1">
      <c r="C11" s="1245"/>
      <c r="E11" s="1244" t="s">
        <v>387</v>
      </c>
    </row>
    <row r="12" spans="1:15" s="1241" customFormat="1"/>
    <row r="13" spans="1:15" s="1238" customFormat="1" ht="20.100000000000001" customHeight="1">
      <c r="C13" s="1243" t="s">
        <v>3251</v>
      </c>
      <c r="E13" s="1243"/>
      <c r="G13" s="1242"/>
      <c r="H13" s="1243"/>
      <c r="I13" s="1242"/>
      <c r="J13" s="1242"/>
      <c r="K13" s="1243"/>
      <c r="L13" s="1242"/>
      <c r="M13" s="1242"/>
      <c r="N13" s="1243"/>
      <c r="O13" s="1242"/>
    </row>
    <row r="14" spans="1:15" s="1241" customFormat="1" ht="14.25" customHeight="1"/>
    <row r="15" spans="1:15" s="1241" customFormat="1" ht="14.25" customHeight="1"/>
    <row r="16" spans="1:15" s="1241" customFormat="1" ht="14.25" customHeight="1"/>
    <row r="17" spans="1:15" s="1241" customFormat="1" ht="14.25" customHeight="1"/>
    <row r="18" spans="1:15" s="1241" customFormat="1" ht="14.25" customHeight="1"/>
    <row r="19" spans="1:15" s="1241" customFormat="1" ht="14.25" customHeight="1"/>
    <row r="20" spans="1:15" s="1241" customFormat="1" ht="14.25" customHeight="1"/>
    <row r="21" spans="1:15" s="1238" customFormat="1" ht="20.100000000000001" customHeight="1">
      <c r="C21" s="1243" t="s">
        <v>3250</v>
      </c>
      <c r="E21" s="1243"/>
      <c r="G21" s="1242"/>
      <c r="H21" s="1243"/>
      <c r="I21" s="1242"/>
      <c r="J21" s="1242"/>
      <c r="K21" s="1243"/>
      <c r="L21" s="1242"/>
      <c r="M21" s="1242"/>
      <c r="N21" s="1243"/>
      <c r="O21" s="1242"/>
    </row>
    <row r="23" spans="1:15" s="1238" customFormat="1">
      <c r="A23" s="1240"/>
      <c r="C23" s="1238" t="s">
        <v>3249</v>
      </c>
      <c r="D23" s="1240"/>
      <c r="F23" s="1240"/>
      <c r="H23" s="1240"/>
      <c r="I23" s="1239"/>
      <c r="K23" s="1240"/>
      <c r="L23" s="1239"/>
      <c r="M23" s="1239"/>
      <c r="N23" s="1240"/>
      <c r="O23" s="1239"/>
    </row>
    <row r="24" spans="1:15" ht="14.25" customHeight="1"/>
    <row r="25" spans="1:15" ht="14.25" customHeight="1"/>
    <row r="26" spans="1:15" ht="14.25" customHeight="1"/>
    <row r="27" spans="1:15" s="1241" customFormat="1" ht="14.25" customHeight="1"/>
    <row r="28" spans="1:15" s="1238" customFormat="1">
      <c r="A28" s="1240"/>
      <c r="C28" s="1238" t="s">
        <v>3248</v>
      </c>
      <c r="D28" s="1240"/>
      <c r="F28" s="1240"/>
      <c r="H28" s="1240"/>
      <c r="I28" s="1239"/>
      <c r="K28" s="1240"/>
      <c r="L28" s="1239"/>
      <c r="M28" s="1239"/>
      <c r="N28" s="1240"/>
      <c r="O28" s="1239"/>
    </row>
    <row r="30" spans="1:15">
      <c r="C30" s="28" t="s">
        <v>3247</v>
      </c>
      <c r="E30" s="28" t="s">
        <v>3246</v>
      </c>
    </row>
    <row r="31" spans="1:15">
      <c r="C31" s="1234" t="s">
        <v>3245</v>
      </c>
      <c r="E31" s="1234" t="s">
        <v>1953</v>
      </c>
    </row>
    <row r="32" spans="1:15">
      <c r="C32" s="1234" t="s">
        <v>392</v>
      </c>
      <c r="E32" s="1234" t="s">
        <v>2096</v>
      </c>
    </row>
    <row r="33" spans="3:5">
      <c r="C33" s="1234" t="s">
        <v>206</v>
      </c>
      <c r="E33" s="1234" t="s">
        <v>1955</v>
      </c>
    </row>
    <row r="34" spans="3:5">
      <c r="C34" s="1234" t="s">
        <v>208</v>
      </c>
      <c r="E34" s="1234" t="s">
        <v>1956</v>
      </c>
    </row>
    <row r="35" spans="3:5">
      <c r="C35" s="1234" t="s">
        <v>396</v>
      </c>
      <c r="E35" s="1234" t="s">
        <v>1966</v>
      </c>
    </row>
    <row r="36" spans="3:5">
      <c r="C36" s="1234" t="s">
        <v>1707</v>
      </c>
      <c r="E36" s="1234" t="s">
        <v>1967</v>
      </c>
    </row>
    <row r="37" spans="3:5">
      <c r="C37" s="1234" t="s">
        <v>399</v>
      </c>
      <c r="E37" s="1234" t="s">
        <v>1663</v>
      </c>
    </row>
    <row r="38" spans="3:5">
      <c r="C38" s="1234" t="s">
        <v>400</v>
      </c>
      <c r="E38" s="1234" t="s">
        <v>1697</v>
      </c>
    </row>
    <row r="39" spans="3:5">
      <c r="C39" s="1234" t="s">
        <v>3254</v>
      </c>
      <c r="E39" s="1234" t="s">
        <v>1739</v>
      </c>
    </row>
    <row r="40" spans="3:5">
      <c r="C40" s="1234" t="s">
        <v>394</v>
      </c>
      <c r="E40" s="1234" t="s">
        <v>1319</v>
      </c>
    </row>
    <row r="41" spans="3:5">
      <c r="C41" s="1234" t="s">
        <v>2665</v>
      </c>
      <c r="E41" s="1234" t="s">
        <v>1318</v>
      </c>
    </row>
    <row r="42" spans="3:5">
      <c r="C42" s="1234" t="s">
        <v>1070</v>
      </c>
      <c r="E42" s="1234" t="s">
        <v>1072</v>
      </c>
    </row>
    <row r="43" spans="3:5">
      <c r="C43" s="1234" t="s">
        <v>1371</v>
      </c>
      <c r="E43" s="1234" t="s">
        <v>1372</v>
      </c>
    </row>
    <row r="44" spans="3:5">
      <c r="C44" s="1234"/>
      <c r="E44" s="1234"/>
    </row>
    <row r="45" spans="3:5">
      <c r="C45" s="1234"/>
      <c r="E45" s="1234"/>
    </row>
    <row r="46" spans="3:5">
      <c r="E46" t="s">
        <v>3244</v>
      </c>
    </row>
  </sheetData>
  <hyperlinks>
    <hyperlink ref="E4"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FF00"/>
  </sheetPr>
  <dimension ref="A1:P18"/>
  <sheetViews>
    <sheetView workbookViewId="0"/>
  </sheetViews>
  <sheetFormatPr defaultRowHeight="13.8"/>
  <cols>
    <col min="1" max="1" width="1" customWidth="1"/>
    <col min="2" max="2" width="0.7265625" customWidth="1"/>
    <col min="3" max="3" width="27.7265625" customWidth="1"/>
    <col min="4" max="4" width="17.36328125" customWidth="1"/>
    <col min="5" max="5" width="8.984375E-2" customWidth="1"/>
    <col min="6" max="6" width="4.90625" customWidth="1"/>
    <col min="7" max="7" width="8.81640625" customWidth="1"/>
    <col min="8" max="8" width="15" customWidth="1"/>
    <col min="9" max="9" width="2.6328125" customWidth="1"/>
    <col min="10" max="10" width="8.81640625" customWidth="1"/>
    <col min="11" max="11" width="15" customWidth="1"/>
    <col min="12" max="12" width="2.6328125" customWidth="1"/>
    <col min="13" max="13" width="8.81640625" customWidth="1"/>
    <col min="14" max="14" width="15" customWidth="1"/>
    <col min="15" max="15" width="2.6328125" customWidth="1"/>
    <col min="16" max="16" width="8.81640625" customWidth="1"/>
    <col min="17" max="17" width="15" customWidth="1"/>
    <col min="18" max="35" width="8.81640625" customWidth="1"/>
  </cols>
  <sheetData>
    <row r="1" spans="1:16" s="11" customFormat="1">
      <c r="A1" s="804"/>
    </row>
    <row r="2" spans="1:16" s="1224" customFormat="1">
      <c r="C2" s="1225"/>
      <c r="D2" s="1225"/>
      <c r="E2" s="1225"/>
      <c r="F2" s="1225"/>
      <c r="G2" s="1225"/>
      <c r="I2" s="1225"/>
      <c r="J2" s="1225"/>
      <c r="K2" s="1225"/>
      <c r="L2" s="1225"/>
      <c r="M2" s="1225"/>
      <c r="N2" s="1225"/>
      <c r="O2" s="1225"/>
    </row>
    <row r="3" spans="1:16" s="1224" customFormat="1">
      <c r="C3" s="1224" t="s">
        <v>358</v>
      </c>
      <c r="D3" s="145" t="s">
        <v>382</v>
      </c>
      <c r="F3" s="145"/>
      <c r="G3" s="146"/>
      <c r="I3" s="146"/>
      <c r="J3" s="146"/>
      <c r="K3" s="146"/>
      <c r="L3" s="146"/>
      <c r="M3" s="146"/>
      <c r="N3" s="146"/>
      <c r="O3" s="146"/>
    </row>
    <row r="4" spans="1:16" s="644" customFormat="1"/>
    <row r="5" spans="1:16" s="16" customFormat="1">
      <c r="A5" s="650"/>
      <c r="C5" s="16" t="s">
        <v>356</v>
      </c>
      <c r="G5" s="17"/>
      <c r="H5" s="17"/>
      <c r="I5" s="17"/>
      <c r="J5" s="17"/>
      <c r="K5" s="17"/>
      <c r="L5" s="17"/>
      <c r="M5" s="17"/>
      <c r="N5" s="17"/>
      <c r="O5" s="17"/>
      <c r="P5" s="17"/>
    </row>
    <row r="6" spans="1:16" s="644" customFormat="1"/>
    <row r="7" spans="1:16" s="644" customFormat="1">
      <c r="C7" s="28" t="s">
        <v>383</v>
      </c>
      <c r="D7" s="28"/>
      <c r="E7" s="28"/>
      <c r="F7" s="28"/>
      <c r="K7" s="649" t="s">
        <v>384</v>
      </c>
    </row>
    <row r="8" spans="1:16" s="644" customFormat="1">
      <c r="C8" s="648"/>
      <c r="D8" s="645" t="s">
        <v>385</v>
      </c>
      <c r="K8" s="647"/>
      <c r="L8" s="645" t="s">
        <v>386</v>
      </c>
    </row>
    <row r="9" spans="1:16" s="644" customFormat="1">
      <c r="C9" s="646"/>
      <c r="D9" s="645" t="s">
        <v>354</v>
      </c>
    </row>
    <row r="10" spans="1:16" s="644" customFormat="1">
      <c r="C10" s="119"/>
      <c r="D10" s="645" t="s">
        <v>387</v>
      </c>
    </row>
    <row r="11" spans="1:16" s="644" customFormat="1"/>
    <row r="12" spans="1:16" s="16" customFormat="1">
      <c r="A12" s="650"/>
      <c r="C12" s="16" t="s">
        <v>428</v>
      </c>
      <c r="G12" s="17"/>
      <c r="H12" s="17"/>
      <c r="I12" s="17"/>
      <c r="J12" s="17"/>
      <c r="K12" s="17"/>
      <c r="L12" s="17"/>
      <c r="M12" s="17"/>
      <c r="N12" s="17"/>
      <c r="O12" s="17"/>
      <c r="P12" s="17"/>
    </row>
    <row r="14" spans="1:16">
      <c r="C14" t="s">
        <v>3153</v>
      </c>
      <c r="D14" s="88" t="b">
        <v>1</v>
      </c>
      <c r="E14" t="s">
        <v>3152</v>
      </c>
    </row>
    <row r="16" spans="1:16">
      <c r="C16" t="s">
        <v>3151</v>
      </c>
      <c r="D16" s="89" t="s">
        <v>3156</v>
      </c>
      <c r="E16" t="s">
        <v>3150</v>
      </c>
    </row>
    <row r="17" spans="3:5">
      <c r="D17" s="19"/>
    </row>
    <row r="18" spans="3:5">
      <c r="C18" t="s">
        <v>3149</v>
      </c>
      <c r="D18" s="89" t="s">
        <v>3157</v>
      </c>
      <c r="E18" t="s">
        <v>3148</v>
      </c>
    </row>
  </sheetData>
  <dataValidations count="1">
    <dataValidation type="list" allowBlank="1" showInputMessage="1" showErrorMessage="1" sqref="D14">
      <formula1>"TRUE, FALSE"</formula1>
    </dataValidation>
  </dataValidations>
  <hyperlinks>
    <hyperlink ref="D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3697" r:id="rId5" name="Button 1">
              <controlPr defaultSize="0" print="0" autoFill="0" autoPict="0" macro="[0]!ImportExportCSV_tlObalNamer">
                <anchor moveWithCells="1" sizeWithCells="1">
                  <from>
                    <xdr:col>3</xdr:col>
                    <xdr:colOff>0</xdr:colOff>
                    <xdr:row>19</xdr:row>
                    <xdr:rowOff>22860</xdr:rowOff>
                  </from>
                  <to>
                    <xdr:col>3</xdr:col>
                    <xdr:colOff>1638300</xdr:colOff>
                    <xdr:row>21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rgb="FFFFFF00"/>
  </sheetPr>
  <dimension ref="A1"/>
  <sheetViews>
    <sheetView workbookViewId="0"/>
  </sheetViews>
  <sheetFormatPr defaultRowHeight="13.8"/>
  <cols>
    <col min="1" max="1" width="14.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L69"/>
  <sheetViews>
    <sheetView workbookViewId="0"/>
  </sheetViews>
  <sheetFormatPr defaultColWidth="8.81640625" defaultRowHeight="19.2"/>
  <cols>
    <col min="1" max="1" width="7.1796875" style="52" customWidth="1"/>
    <col min="2" max="2" width="2.453125" style="52" customWidth="1"/>
    <col min="3" max="3" width="2.6328125" style="52" customWidth="1"/>
    <col min="4" max="5" width="11" style="52" customWidth="1"/>
    <col min="6" max="6" width="22.6328125" style="52" bestFit="1" customWidth="1"/>
    <col min="7" max="7" width="21.453125" style="52" customWidth="1"/>
    <col min="8" max="10" width="11" style="52" customWidth="1"/>
    <col min="11" max="11" width="16.90625" style="52" customWidth="1"/>
    <col min="12" max="12" width="18.6328125" style="52" bestFit="1" customWidth="1"/>
    <col min="13" max="13" width="8.81640625" style="52"/>
    <col min="14" max="14" width="7.26953125" style="52" bestFit="1" customWidth="1"/>
    <col min="15" max="15" width="13.08984375" style="52" customWidth="1"/>
    <col min="16" max="16" width="19.6328125" style="52" bestFit="1" customWidth="1"/>
    <col min="17" max="17" width="19" style="52" bestFit="1" customWidth="1"/>
    <col min="18" max="16384" width="8.81640625" style="52"/>
  </cols>
  <sheetData>
    <row r="1" spans="1:12" s="50" customFormat="1" ht="24.6">
      <c r="A1" s="49" t="s">
        <v>278</v>
      </c>
      <c r="L1" s="51" t="s">
        <v>279</v>
      </c>
    </row>
    <row r="2" spans="1:12" ht="19.8" thickBot="1"/>
    <row r="3" spans="1:12">
      <c r="B3" s="52" t="s">
        <v>280</v>
      </c>
      <c r="E3" s="99" t="s">
        <v>281</v>
      </c>
      <c r="F3" s="56" t="s">
        <v>282</v>
      </c>
    </row>
    <row r="4" spans="1:12" ht="19.8" thickBot="1">
      <c r="B4" s="52" t="s">
        <v>45</v>
      </c>
      <c r="E4" s="100" t="b">
        <v>1</v>
      </c>
      <c r="F4" s="56" t="s">
        <v>283</v>
      </c>
    </row>
    <row r="7" spans="1:12" s="50" customFormat="1" ht="24.6">
      <c r="A7" s="49" t="s">
        <v>284</v>
      </c>
    </row>
    <row r="8" spans="1:12" ht="19.8" thickBot="1"/>
    <row r="9" spans="1:12">
      <c r="B9" s="52" t="s">
        <v>52</v>
      </c>
      <c r="E9" s="53" t="s">
        <v>53</v>
      </c>
      <c r="F9" s="54" t="s">
        <v>54</v>
      </c>
      <c r="G9" s="54" t="s">
        <v>84</v>
      </c>
      <c r="H9" s="54" t="s">
        <v>85</v>
      </c>
      <c r="I9" s="54" t="s">
        <v>86</v>
      </c>
      <c r="J9" s="54" t="s">
        <v>285</v>
      </c>
      <c r="K9" s="54" t="s">
        <v>55</v>
      </c>
      <c r="L9" s="55" t="s">
        <v>56</v>
      </c>
    </row>
    <row r="10" spans="1:12">
      <c r="E10" s="92">
        <v>1</v>
      </c>
      <c r="F10" s="93" t="s">
        <v>236</v>
      </c>
      <c r="G10" s="94"/>
      <c r="H10" s="93"/>
      <c r="I10" s="93"/>
      <c r="J10" s="93"/>
      <c r="K10" s="103" t="str">
        <f t="shared" ref="K10:K38" si="0">IF(E10=1,IF(G10="","",cnstSingleQuote&amp;G10&amp;cnstSingleQuote),cnstSingleQuote&amp;G10&amp;IF(ISBLANK(H10),"",cnstDoubleQuote&amp;H10&amp;cnstDoubleQuote)&amp;IF(ISBLANK(I10),"",cnstComma&amp;cnstDoubleQuote&amp;I10&amp;cnstDoubleQuote)&amp;IF(ISBLANK(J10),"",cnstComma&amp;cnstDoubleQuote&amp;J10&amp;cnstDoubleQuote)&amp;cnstSingleQuote)</f>
        <v/>
      </c>
      <c r="L10" s="101"/>
    </row>
    <row r="11" spans="1:12">
      <c r="E11" s="92">
        <v>2</v>
      </c>
      <c r="F11" s="93" t="s">
        <v>244</v>
      </c>
      <c r="G11" s="94" t="s">
        <v>57</v>
      </c>
      <c r="H11" s="93"/>
      <c r="I11" s="93"/>
      <c r="J11" s="93"/>
      <c r="K11" s="103" t="str">
        <f t="shared" si="0"/>
        <v>'SimReset'</v>
      </c>
      <c r="L11" s="101"/>
    </row>
    <row r="12" spans="1:12">
      <c r="E12" s="92">
        <v>2</v>
      </c>
      <c r="F12" s="93" t="s">
        <v>243</v>
      </c>
      <c r="G12" s="94" t="s">
        <v>185</v>
      </c>
      <c r="H12" s="93"/>
      <c r="I12" s="93"/>
      <c r="J12" s="93"/>
      <c r="K12" s="103" t="str">
        <f t="shared" si="0"/>
        <v>'SimNewRound'</v>
      </c>
      <c r="L12" s="101"/>
    </row>
    <row r="13" spans="1:12">
      <c r="E13" s="92">
        <v>2</v>
      </c>
      <c r="F13" s="93" t="s">
        <v>245</v>
      </c>
      <c r="G13" s="94" t="s">
        <v>235</v>
      </c>
      <c r="H13" s="93">
        <f>xxNumOfTeams</f>
        <v>10</v>
      </c>
      <c r="I13" s="93"/>
      <c r="J13" s="93"/>
      <c r="K13" s="103" t="str">
        <f t="shared" si="0"/>
        <v>'SimCreateTools"10"'</v>
      </c>
      <c r="L13" s="101"/>
    </row>
    <row r="14" spans="1:12">
      <c r="E14" s="92">
        <v>2</v>
      </c>
      <c r="F14" s="93" t="s">
        <v>239</v>
      </c>
      <c r="G14" s="94" t="s">
        <v>252</v>
      </c>
      <c r="H14" s="93"/>
      <c r="I14" s="93"/>
      <c r="J14" s="93"/>
      <c r="K14" s="103" t="str">
        <f t="shared" si="0"/>
        <v>'DecExportDecisions'</v>
      </c>
      <c r="L14" s="101"/>
    </row>
    <row r="15" spans="1:12">
      <c r="E15" s="92">
        <v>2</v>
      </c>
      <c r="F15" s="93" t="s">
        <v>241</v>
      </c>
      <c r="G15" s="94" t="s">
        <v>3154</v>
      </c>
      <c r="H15" s="93"/>
      <c r="I15" s="93"/>
      <c r="J15" s="93"/>
      <c r="K15" s="103" t="str">
        <f t="shared" si="0"/>
        <v>'ImportCSVDecisions'</v>
      </c>
      <c r="L15" s="101"/>
    </row>
    <row r="16" spans="1:12">
      <c r="E16" s="92">
        <v>2</v>
      </c>
      <c r="F16" s="93" t="s">
        <v>246</v>
      </c>
      <c r="G16" s="94" t="s">
        <v>2246</v>
      </c>
      <c r="H16" s="93">
        <f>xxRound</f>
        <v>1</v>
      </c>
      <c r="I16" s="93"/>
      <c r="J16" s="93"/>
      <c r="K16" s="103" t="str">
        <f t="shared" si="0"/>
        <v>'FBUpdateFeedbackFile"1"'</v>
      </c>
      <c r="L16" s="101"/>
    </row>
    <row r="17" spans="5:12">
      <c r="E17" s="92">
        <v>2</v>
      </c>
      <c r="F17" s="93" t="s">
        <v>242</v>
      </c>
      <c r="G17" s="94" t="s">
        <v>3155</v>
      </c>
      <c r="H17" s="93"/>
      <c r="I17" s="93"/>
      <c r="J17" s="93"/>
      <c r="K17" s="103" t="str">
        <f t="shared" si="0"/>
        <v>'ExportCSVBalances'</v>
      </c>
      <c r="L17" s="101"/>
    </row>
    <row r="18" spans="5:12">
      <c r="E18" s="92">
        <v>2</v>
      </c>
      <c r="F18" s="93" t="s">
        <v>240</v>
      </c>
      <c r="G18" s="94" t="s">
        <v>237</v>
      </c>
      <c r="H18" s="93">
        <f>xxRound+1</f>
        <v>2</v>
      </c>
      <c r="I18" s="93">
        <f>tlInputTeamNumber</f>
        <v>1</v>
      </c>
      <c r="J18" s="93"/>
      <c r="K18" s="103" t="str">
        <f t="shared" si="0"/>
        <v>'SimImportToolBalances"2","1"'</v>
      </c>
      <c r="L18" s="101"/>
    </row>
    <row r="19" spans="5:12">
      <c r="E19" s="92">
        <v>1</v>
      </c>
      <c r="F19" s="93" t="s">
        <v>238</v>
      </c>
      <c r="G19" s="94"/>
      <c r="H19" s="93"/>
      <c r="I19" s="93"/>
      <c r="J19" s="93"/>
      <c r="K19" s="103" t="str">
        <f t="shared" si="0"/>
        <v/>
      </c>
      <c r="L19" s="101"/>
    </row>
    <row r="20" spans="5:12">
      <c r="E20" s="92">
        <v>2</v>
      </c>
      <c r="F20" s="93" t="s">
        <v>93</v>
      </c>
      <c r="G20" s="94" t="s">
        <v>94</v>
      </c>
      <c r="H20" s="93"/>
      <c r="I20" s="93"/>
      <c r="J20" s="93"/>
      <c r="K20" s="103" t="str">
        <f t="shared" si="0"/>
        <v>'DecResetFormulae'</v>
      </c>
      <c r="L20" s="101"/>
    </row>
    <row r="21" spans="5:12">
      <c r="E21" s="92">
        <v>2</v>
      </c>
      <c r="F21" s="93" t="s">
        <v>95</v>
      </c>
      <c r="G21" s="94" t="s">
        <v>96</v>
      </c>
      <c r="H21" s="93">
        <f>xxRound</f>
        <v>1</v>
      </c>
      <c r="I21" s="93"/>
      <c r="J21" s="93"/>
      <c r="K21" s="103" t="str">
        <f t="shared" si="0"/>
        <v>'DecResetToolDecs"1"'</v>
      </c>
      <c r="L21" s="101"/>
    </row>
    <row r="22" spans="5:12">
      <c r="E22" s="92">
        <v>2</v>
      </c>
      <c r="F22" s="93" t="s">
        <v>111</v>
      </c>
      <c r="G22" s="94" t="s">
        <v>297</v>
      </c>
      <c r="H22" s="93"/>
      <c r="I22" s="93"/>
      <c r="J22" s="93"/>
      <c r="K22" s="103" t="str">
        <f t="shared" si="0"/>
        <v>'BalancesResetT0Obals'</v>
      </c>
      <c r="L22" s="101"/>
    </row>
    <row r="23" spans="5:12">
      <c r="E23" s="92">
        <v>2</v>
      </c>
      <c r="F23" s="93" t="s">
        <v>102</v>
      </c>
      <c r="G23" s="94" t="s">
        <v>103</v>
      </c>
      <c r="H23" s="93"/>
      <c r="I23" s="93"/>
      <c r="J23" s="93"/>
      <c r="K23" s="103" t="str">
        <f t="shared" si="0"/>
        <v>'DecShowErrorMessage'</v>
      </c>
      <c r="L23" s="101"/>
    </row>
    <row r="24" spans="5:12">
      <c r="E24" s="92">
        <v>1</v>
      </c>
      <c r="F24" s="93" t="s">
        <v>222</v>
      </c>
      <c r="G24" s="94"/>
      <c r="H24" s="93"/>
      <c r="I24" s="93"/>
      <c r="J24" s="93"/>
      <c r="K24" s="103" t="str">
        <f t="shared" si="0"/>
        <v/>
      </c>
      <c r="L24" s="101"/>
    </row>
    <row r="25" spans="5:12">
      <c r="E25" s="92">
        <v>2</v>
      </c>
      <c r="F25" s="93" t="s">
        <v>223</v>
      </c>
      <c r="G25" s="94" t="s">
        <v>224</v>
      </c>
      <c r="H25" s="93" t="s">
        <v>3146</v>
      </c>
      <c r="I25" s="93"/>
      <c r="J25" s="93"/>
      <c r="K25" s="103" t="str">
        <f t="shared" si="0"/>
        <v>'HoodGoToScreen"tlInputIntro"'</v>
      </c>
      <c r="L25" s="101"/>
    </row>
    <row r="26" spans="5:12">
      <c r="E26" s="92">
        <v>2</v>
      </c>
      <c r="F26" s="93" t="s">
        <v>1086</v>
      </c>
      <c r="G26" s="94" t="s">
        <v>224</v>
      </c>
      <c r="H26" s="93" t="s">
        <v>3158</v>
      </c>
      <c r="I26" s="93"/>
      <c r="J26" s="93"/>
      <c r="K26" s="103" t="str">
        <f t="shared" si="0"/>
        <v>'HoodGoToScreen"tlInputOps"'</v>
      </c>
      <c r="L26" s="101"/>
    </row>
    <row r="27" spans="5:12">
      <c r="E27" s="92">
        <v>2</v>
      </c>
      <c r="F27" s="93" t="s">
        <v>460</v>
      </c>
      <c r="G27" s="94" t="s">
        <v>224</v>
      </c>
      <c r="H27" s="93" t="s">
        <v>3062</v>
      </c>
      <c r="I27" s="93"/>
      <c r="J27" s="93"/>
      <c r="K27" s="103" t="str">
        <f>IF(E27=1,IF(G27="","",cnstSingleQuote&amp;G27&amp;cnstSingleQuote),cnstSingleQuote&amp;G27&amp;IF(ISBLANK(H27),"",cnstDoubleQuote&amp;H27&amp;cnstDoubleQuote)&amp;IF(ISBLANK(I27),"",cnstComma&amp;cnstDoubleQuote&amp;I27&amp;cnstDoubleQuote)&amp;IF(ISBLANK(J27),"",cnstComma&amp;cnstDoubleQuote&amp;J27&amp;cnstDoubleQuote)&amp;cnstSingleQuote)</f>
        <v>'HoodGoToScreen"tlInputEG"'</v>
      </c>
      <c r="L27" s="101"/>
    </row>
    <row r="28" spans="5:12">
      <c r="E28" s="92">
        <v>2</v>
      </c>
      <c r="F28" s="93" t="s">
        <v>494</v>
      </c>
      <c r="G28" s="94" t="s">
        <v>224</v>
      </c>
      <c r="H28" s="93" t="s">
        <v>3058</v>
      </c>
      <c r="I28" s="93"/>
      <c r="J28" s="93"/>
      <c r="K28" s="103" t="str">
        <f>IF(E28=1,IF(G28="","",cnstSingleQuote&amp;G28&amp;cnstSingleQuote),cnstSingleQuote&amp;G28&amp;IF(ISBLANK(H28),"",cnstDoubleQuote&amp;H28&amp;cnstDoubleQuote)&amp;IF(ISBLANK(I28),"",cnstComma&amp;cnstDoubleQuote&amp;I28&amp;cnstDoubleQuote)&amp;IF(ISBLANK(J28),"",cnstComma&amp;cnstDoubleQuote&amp;J28&amp;cnstDoubleQuote)&amp;cnstSingleQuote)</f>
        <v>'HoodGoToScreen"tlInputCommercial"'</v>
      </c>
      <c r="L28" s="101"/>
    </row>
    <row r="29" spans="5:12">
      <c r="E29" s="92">
        <v>2</v>
      </c>
      <c r="F29" s="93" t="s">
        <v>365</v>
      </c>
      <c r="G29" s="94" t="s">
        <v>224</v>
      </c>
      <c r="H29" s="93" t="s">
        <v>3081</v>
      </c>
      <c r="I29" s="93"/>
      <c r="J29" s="93"/>
      <c r="K29" s="103" t="str">
        <f>IF(E29=1,IF(G29="","",cnstSingleQuote&amp;G29&amp;cnstSingleQuote),cnstSingleQuote&amp;G29&amp;IF(ISBLANK(H29),"",cnstDoubleQuote&amp;H29&amp;cnstDoubleQuote)&amp;IF(ISBLANK(I29),"",cnstComma&amp;cnstDoubleQuote&amp;I29&amp;cnstDoubleQuote)&amp;IF(ISBLANK(J29),"",cnstComma&amp;cnstDoubleQuote&amp;J29&amp;cnstDoubleQuote)&amp;cnstSingleQuote)</f>
        <v>'HoodGoToScreen"tlInputConsumer"'</v>
      </c>
      <c r="L29" s="101"/>
    </row>
    <row r="30" spans="5:12">
      <c r="E30" s="92">
        <v>1</v>
      </c>
      <c r="F30" s="93" t="s">
        <v>2962</v>
      </c>
      <c r="G30" s="94"/>
      <c r="H30" s="93"/>
      <c r="I30" s="93"/>
      <c r="J30" s="93"/>
      <c r="K30" s="103" t="str">
        <f t="shared" ref="K30:K31" si="1">IF(E30=1,IF(G30="","",cnstSingleQuote&amp;G30&amp;cnstSingleQuote),cnstSingleQuote&amp;G30&amp;IF(ISBLANK(H30),"",cnstDoubleQuote&amp;H30&amp;cnstDoubleQuote)&amp;IF(ISBLANK(I30),"",cnstComma&amp;cnstDoubleQuote&amp;I30&amp;cnstDoubleQuote)&amp;IF(ISBLANK(J30),"",cnstComma&amp;cnstDoubleQuote&amp;J30&amp;cnstDoubleQuote)&amp;cnstSingleQuote)</f>
        <v/>
      </c>
      <c r="L30" s="101"/>
    </row>
    <row r="31" spans="5:12">
      <c r="E31" s="92">
        <v>2</v>
      </c>
      <c r="F31" s="93" t="s">
        <v>2957</v>
      </c>
      <c r="G31" s="94" t="s">
        <v>2915</v>
      </c>
      <c r="H31" s="93"/>
      <c r="I31" s="93"/>
      <c r="J31" s="93"/>
      <c r="K31" s="103" t="str">
        <f t="shared" si="1"/>
        <v>'PrintAnnualReportsAll'</v>
      </c>
      <c r="L31" s="101"/>
    </row>
    <row r="32" spans="5:12">
      <c r="E32" s="92">
        <v>2</v>
      </c>
      <c r="F32" s="93" t="s">
        <v>2958</v>
      </c>
      <c r="G32" s="94" t="s">
        <v>2914</v>
      </c>
      <c r="H32" s="93"/>
      <c r="I32" s="93"/>
      <c r="J32" s="93"/>
      <c r="K32" s="103" t="str">
        <f t="shared" ref="K32" si="2">IF(E32=1,IF(G32="","",cnstSingleQuote&amp;G32&amp;cnstSingleQuote),cnstSingleQuote&amp;G32&amp;IF(ISBLANK(H32),"",cnstDoubleQuote&amp;H32&amp;cnstDoubleQuote)&amp;IF(ISBLANK(I32),"",cnstComma&amp;cnstDoubleQuote&amp;I32&amp;cnstDoubleQuote)&amp;IF(ISBLANK(J32),"",cnstComma&amp;cnstDoubleQuote&amp;J32&amp;cnstDoubleQuote)&amp;cnstSingleQuote)</f>
        <v>'PrintAnnualReportsTeam'</v>
      </c>
      <c r="L32" s="101"/>
    </row>
    <row r="33" spans="1:12">
      <c r="E33" s="92">
        <v>2</v>
      </c>
      <c r="F33" s="93" t="s">
        <v>2960</v>
      </c>
      <c r="G33" s="94" t="s">
        <v>2961</v>
      </c>
      <c r="H33" s="93"/>
      <c r="I33" s="93"/>
      <c r="J33" s="93"/>
      <c r="K33" s="103" t="str">
        <f>IF(E33=1,IF(G33="","",cnstSingleQuote&amp;G33&amp;cnstSingleQuote),cnstSingleQuote&amp;G33&amp;IF(ISBLANK(H33),"",cnstDoubleQuote&amp;H33&amp;cnstDoubleQuote)&amp;IF(ISBLANK(I33),"",cnstComma&amp;cnstDoubleQuote&amp;I33&amp;cnstDoubleQuote)&amp;IF(ISBLANK(J33),"",cnstComma&amp;cnstDoubleQuote&amp;J33&amp;cnstDoubleQuote)&amp;cnstSingleQuote)</f>
        <v>'PrintSimAnalysisReport'</v>
      </c>
      <c r="L33" s="101"/>
    </row>
    <row r="34" spans="1:12">
      <c r="E34" s="92">
        <v>2</v>
      </c>
      <c r="F34" s="93" t="s">
        <v>2917</v>
      </c>
      <c r="G34" s="94" t="s">
        <v>2913</v>
      </c>
      <c r="H34" s="93"/>
      <c r="I34" s="93"/>
      <c r="J34" s="93"/>
      <c r="K34" s="103" t="str">
        <f>IF(E34=1,IF(G34="","",cnstSingleQuote&amp;G34&amp;cnstSingleQuote),cnstSingleQuote&amp;G34&amp;IF(ISBLANK(H34),"",cnstDoubleQuote&amp;H34&amp;cnstDoubleQuote)&amp;IF(ISBLANK(I34),"",cnstComma&amp;cnstDoubleQuote&amp;I34&amp;cnstDoubleQuote)&amp;IF(ISBLANK(J34),"",cnstComma&amp;cnstDoubleQuote&amp;J34&amp;cnstDoubleQuote)&amp;cnstSingleQuote)</f>
        <v>'PrintCompetitorReport'</v>
      </c>
      <c r="L34" s="101"/>
    </row>
    <row r="35" spans="1:12">
      <c r="E35" s="92">
        <v>1</v>
      </c>
      <c r="F35" s="93" t="s">
        <v>2963</v>
      </c>
      <c r="G35" s="94"/>
      <c r="H35" s="93"/>
      <c r="I35" s="93"/>
      <c r="J35" s="93"/>
      <c r="K35" s="103" t="str">
        <f t="shared" ref="K35" si="3">IF(E35=1,IF(G35="","",cnstSingleQuote&amp;G35&amp;cnstSingleQuote),cnstSingleQuote&amp;G35&amp;IF(ISBLANK(H35),"",cnstDoubleQuote&amp;H35&amp;cnstDoubleQuote)&amp;IF(ISBLANK(I35),"",cnstComma&amp;cnstDoubleQuote&amp;I35&amp;cnstDoubleQuote)&amp;IF(ISBLANK(J35),"",cnstComma&amp;cnstDoubleQuote&amp;J35&amp;cnstDoubleQuote)&amp;cnstSingleQuote)</f>
        <v/>
      </c>
      <c r="L35" s="101"/>
    </row>
    <row r="36" spans="1:12">
      <c r="E36" s="92">
        <v>2</v>
      </c>
      <c r="F36" s="93" t="s">
        <v>2965</v>
      </c>
      <c r="G36" s="94" t="s">
        <v>2912</v>
      </c>
      <c r="H36" s="93"/>
      <c r="I36" s="93"/>
      <c r="J36" s="93"/>
      <c r="K36" s="103" t="str">
        <f>IF(E36=1,IF(G36="","",cnstSingleQuote&amp;G36&amp;cnstSingleQuote),cnstSingleQuote&amp;G36&amp;IF(ISBLANK(H36),"",cnstDoubleQuote&amp;H36&amp;cnstDoubleQuote)&amp;IF(ISBLANK(I36),"",cnstComma&amp;cnstDoubleQuote&amp;I36&amp;cnstDoubleQuote)&amp;IF(ISBLANK(J36),"",cnstComma&amp;cnstDoubleQuote&amp;J36&amp;cnstDoubleQuote)&amp;cnstSingleQuote)</f>
        <v>'PrintAnalysisReport'</v>
      </c>
      <c r="L36" s="101"/>
    </row>
    <row r="37" spans="1:12">
      <c r="E37" s="92">
        <v>2</v>
      </c>
      <c r="F37" s="93" t="s">
        <v>2959</v>
      </c>
      <c r="G37" s="94" t="s">
        <v>2964</v>
      </c>
      <c r="H37" s="93"/>
      <c r="I37" s="93"/>
      <c r="J37" s="93"/>
      <c r="K37" s="103" t="str">
        <f>IF(E37=1,IF(G37="","",cnstSingleQuote&amp;G37&amp;cnstSingleQuote),cnstSingleQuote&amp;G37&amp;IF(ISBLANK(H37),"",cnstDoubleQuote&amp;H37&amp;cnstDoubleQuote)&amp;IF(ISBLANK(I37),"",cnstComma&amp;cnstDoubleQuote&amp;I37&amp;cnstDoubleQuote)&amp;IF(ISBLANK(J37),"",cnstComma&amp;cnstDoubleQuote&amp;J37&amp;cnstDoubleQuote)&amp;cnstSingleQuote)</f>
        <v>'PrintCoachAnalysisReport'</v>
      </c>
      <c r="L37" s="101"/>
    </row>
    <row r="38" spans="1:12" ht="19.8" thickBot="1">
      <c r="E38" s="95">
        <v>1</v>
      </c>
      <c r="F38" s="96" t="s">
        <v>248</v>
      </c>
      <c r="G38" s="97" t="s">
        <v>249</v>
      </c>
      <c r="H38" s="96"/>
      <c r="I38" s="98"/>
      <c r="J38" s="96"/>
      <c r="K38" s="104" t="str">
        <f t="shared" si="0"/>
        <v>'MasterReset'</v>
      </c>
      <c r="L38" s="102"/>
    </row>
    <row r="39" spans="1:12">
      <c r="E39" s="56" t="s">
        <v>58</v>
      </c>
      <c r="F39" s="56" t="s">
        <v>59</v>
      </c>
      <c r="J39" s="57"/>
      <c r="K39" s="56" t="s">
        <v>60</v>
      </c>
      <c r="L39" s="56" t="s">
        <v>61</v>
      </c>
    </row>
    <row r="40" spans="1:12">
      <c r="J40" s="57"/>
      <c r="K40" s="57"/>
    </row>
    <row r="41" spans="1:12" ht="19.8" thickBot="1">
      <c r="B41" s="52" t="s">
        <v>286</v>
      </c>
    </row>
    <row r="42" spans="1:12">
      <c r="C42" s="52" t="s">
        <v>46</v>
      </c>
      <c r="E42" s="105">
        <f>COUNTIF(vbaPopupMenu1ListLevel,1)</f>
        <v>6</v>
      </c>
      <c r="F42" s="56" t="s">
        <v>47</v>
      </c>
    </row>
    <row r="43" spans="1:12">
      <c r="C43" s="52" t="s">
        <v>48</v>
      </c>
      <c r="E43" s="106">
        <f>COUNTIF(vbaPopupMenu1ListLevel,2)</f>
        <v>23</v>
      </c>
      <c r="F43" s="56" t="s">
        <v>49</v>
      </c>
    </row>
    <row r="44" spans="1:12" ht="19.8" thickBot="1">
      <c r="C44" s="52" t="s">
        <v>50</v>
      </c>
      <c r="E44" s="107">
        <f>SUM(E42:E43)</f>
        <v>29</v>
      </c>
      <c r="F44" s="56" t="s">
        <v>51</v>
      </c>
    </row>
    <row r="46" spans="1:12" s="50" customFormat="1" ht="24.6">
      <c r="A46" s="49" t="s">
        <v>287</v>
      </c>
    </row>
    <row r="47" spans="1:12" ht="19.8" thickBot="1"/>
    <row r="48" spans="1:12" ht="16.5" customHeight="1">
      <c r="B48" s="52" t="s">
        <v>288</v>
      </c>
      <c r="E48" s="58" t="s">
        <v>62</v>
      </c>
      <c r="F48" s="59" t="s">
        <v>63</v>
      </c>
    </row>
    <row r="49" spans="5:6">
      <c r="E49" s="108">
        <v>1</v>
      </c>
      <c r="F49" s="109" t="s">
        <v>64</v>
      </c>
    </row>
    <row r="50" spans="5:6">
      <c r="E50" s="110">
        <v>3</v>
      </c>
      <c r="F50" s="111" t="s">
        <v>65</v>
      </c>
    </row>
    <row r="51" spans="5:6">
      <c r="E51" s="108">
        <v>4</v>
      </c>
      <c r="F51" s="109" t="s">
        <v>66</v>
      </c>
    </row>
    <row r="52" spans="5:6">
      <c r="E52" s="110">
        <v>21</v>
      </c>
      <c r="F52" s="111" t="s">
        <v>67</v>
      </c>
    </row>
    <row r="53" spans="5:6">
      <c r="E53" s="108">
        <v>22</v>
      </c>
      <c r="F53" s="109" t="s">
        <v>68</v>
      </c>
    </row>
    <row r="54" spans="5:6">
      <c r="E54" s="110">
        <v>23</v>
      </c>
      <c r="F54" s="111" t="s">
        <v>69</v>
      </c>
    </row>
    <row r="55" spans="5:6">
      <c r="E55" s="108">
        <v>37</v>
      </c>
      <c r="F55" s="109" t="s">
        <v>70</v>
      </c>
    </row>
    <row r="56" spans="5:6">
      <c r="E56" s="110">
        <v>67</v>
      </c>
      <c r="F56" s="111" t="s">
        <v>71</v>
      </c>
    </row>
    <row r="57" spans="5:6">
      <c r="E57" s="108">
        <v>141</v>
      </c>
      <c r="F57" s="109" t="s">
        <v>72</v>
      </c>
    </row>
    <row r="58" spans="5:6">
      <c r="E58" s="110">
        <v>330</v>
      </c>
      <c r="F58" s="111" t="s">
        <v>73</v>
      </c>
    </row>
    <row r="59" spans="5:6">
      <c r="E59" s="108">
        <v>358</v>
      </c>
      <c r="F59" s="109" t="s">
        <v>74</v>
      </c>
    </row>
    <row r="60" spans="5:6">
      <c r="E60" s="110">
        <v>373</v>
      </c>
      <c r="F60" s="111" t="s">
        <v>75</v>
      </c>
    </row>
    <row r="61" spans="5:6">
      <c r="E61" s="108">
        <v>374</v>
      </c>
      <c r="F61" s="109" t="s">
        <v>76</v>
      </c>
    </row>
    <row r="62" spans="5:6">
      <c r="E62" s="110">
        <v>375</v>
      </c>
      <c r="F62" s="111" t="s">
        <v>77</v>
      </c>
    </row>
    <row r="63" spans="5:6">
      <c r="E63" s="108" t="s">
        <v>78</v>
      </c>
      <c r="F63" s="109" t="s">
        <v>79</v>
      </c>
    </row>
    <row r="64" spans="5:6" ht="19.8" thickBot="1">
      <c r="E64" s="112" t="s">
        <v>80</v>
      </c>
      <c r="F64" s="113" t="s">
        <v>81</v>
      </c>
    </row>
    <row r="66" spans="2:6" ht="19.8" thickBot="1">
      <c r="B66" s="52" t="s">
        <v>289</v>
      </c>
    </row>
    <row r="67" spans="2:6">
      <c r="C67" s="52" t="s">
        <v>290</v>
      </c>
      <c r="E67" s="60" t="s">
        <v>291</v>
      </c>
      <c r="F67" s="63" t="s">
        <v>82</v>
      </c>
    </row>
    <row r="68" spans="2:6">
      <c r="C68" s="52" t="s">
        <v>292</v>
      </c>
      <c r="E68" s="61" t="s">
        <v>293</v>
      </c>
      <c r="F68" s="63" t="s">
        <v>83</v>
      </c>
    </row>
    <row r="69" spans="2:6" ht="19.8" thickBot="1">
      <c r="C69" s="52" t="s">
        <v>294</v>
      </c>
      <c r="E69" s="62" t="s">
        <v>295</v>
      </c>
      <c r="F69" s="63" t="s">
        <v>296</v>
      </c>
    </row>
  </sheetData>
  <conditionalFormatting sqref="K38 K10:K25 K30">
    <cfRule type="expression" dxfId="809" priority="14">
      <formula>$E10=1</formula>
    </cfRule>
  </conditionalFormatting>
  <conditionalFormatting sqref="K28">
    <cfRule type="expression" dxfId="808" priority="13">
      <formula>$E28=1</formula>
    </cfRule>
  </conditionalFormatting>
  <conditionalFormatting sqref="K26">
    <cfRule type="expression" dxfId="807" priority="12">
      <formula>$E26=1</formula>
    </cfRule>
  </conditionalFormatting>
  <conditionalFormatting sqref="K27">
    <cfRule type="expression" dxfId="806" priority="11">
      <formula>$E27=1</formula>
    </cfRule>
  </conditionalFormatting>
  <conditionalFormatting sqref="K29">
    <cfRule type="expression" dxfId="805" priority="10">
      <formula>$E29=1</formula>
    </cfRule>
  </conditionalFormatting>
  <conditionalFormatting sqref="K36">
    <cfRule type="expression" dxfId="804" priority="8">
      <formula>$E36=1</formula>
    </cfRule>
  </conditionalFormatting>
  <conditionalFormatting sqref="K31">
    <cfRule type="expression" dxfId="803" priority="7">
      <formula>$E31=1</formula>
    </cfRule>
  </conditionalFormatting>
  <conditionalFormatting sqref="K34">
    <cfRule type="expression" dxfId="802" priority="6">
      <formula>$E34=1</formula>
    </cfRule>
  </conditionalFormatting>
  <conditionalFormatting sqref="K32">
    <cfRule type="expression" dxfId="801" priority="4">
      <formula>$E32=1</formula>
    </cfRule>
  </conditionalFormatting>
  <conditionalFormatting sqref="K37">
    <cfRule type="expression" dxfId="800" priority="3">
      <formula>$E37=1</formula>
    </cfRule>
  </conditionalFormatting>
  <conditionalFormatting sqref="K33">
    <cfRule type="expression" dxfId="799" priority="2">
      <formula>$E33=1</formula>
    </cfRule>
  </conditionalFormatting>
  <conditionalFormatting sqref="K35">
    <cfRule type="expression" dxfId="798" priority="1">
      <formula>$E35=1</formula>
    </cfRule>
  </conditionalFormatting>
  <dataValidations disablePrompts="1" count="1">
    <dataValidation type="list" allowBlank="1" showInputMessage="1" showErrorMessage="1" sqref="E4">
      <formula1>"TRUE,FALSE"</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71"/>
  <sheetViews>
    <sheetView workbookViewId="0"/>
  </sheetViews>
  <sheetFormatPr defaultColWidth="8.81640625" defaultRowHeight="12.6"/>
  <cols>
    <col min="1" max="1" width="3.1796875" style="64" customWidth="1"/>
    <col min="2" max="2" width="18.6328125" style="64" customWidth="1"/>
    <col min="3" max="3" width="41.453125" style="64" customWidth="1"/>
    <col min="4" max="4" width="8.26953125" style="64" customWidth="1"/>
    <col min="5" max="10" width="10.36328125" style="64" customWidth="1"/>
    <col min="11" max="11" width="8.81640625" style="64" customWidth="1"/>
    <col min="12" max="12" width="7.6328125" style="64" customWidth="1"/>
    <col min="13" max="13" width="8.7265625" style="64" customWidth="1"/>
    <col min="14" max="16384" width="8.81640625" style="64"/>
  </cols>
  <sheetData>
    <row r="1" spans="1:26" s="85" customFormat="1" ht="18.75" customHeight="1">
      <c r="A1" s="86"/>
      <c r="B1" s="86" t="s">
        <v>359</v>
      </c>
      <c r="C1" s="87"/>
      <c r="D1" s="86"/>
      <c r="E1" s="86"/>
      <c r="F1" s="86"/>
      <c r="G1" s="86"/>
      <c r="H1" s="86"/>
      <c r="I1" s="86"/>
      <c r="J1" s="86"/>
      <c r="K1" s="86"/>
      <c r="L1" s="86"/>
      <c r="M1" s="86"/>
      <c r="N1" s="86"/>
      <c r="O1" s="86"/>
      <c r="P1" s="86"/>
      <c r="Q1" s="86"/>
      <c r="R1" s="86"/>
      <c r="S1" s="86"/>
      <c r="T1" s="86"/>
      <c r="U1" s="86"/>
      <c r="V1" s="86"/>
      <c r="W1" s="86"/>
      <c r="X1" s="86"/>
      <c r="Y1" s="86"/>
      <c r="Z1" s="86"/>
    </row>
    <row r="2" spans="1:26" s="76" customFormat="1">
      <c r="D2" s="77"/>
      <c r="F2" s="77"/>
      <c r="H2" s="77"/>
      <c r="J2" s="77"/>
    </row>
    <row r="3" spans="1:26" s="76" customFormat="1" ht="16.8">
      <c r="B3" s="76" t="s">
        <v>358</v>
      </c>
      <c r="C3" s="84" t="s">
        <v>357</v>
      </c>
      <c r="F3" s="83"/>
      <c r="H3" s="83"/>
      <c r="J3" s="83"/>
    </row>
    <row r="4" spans="1:26" s="76" customFormat="1">
      <c r="C4" s="77"/>
      <c r="E4" s="77"/>
    </row>
    <row r="5" spans="1:26" s="73" customFormat="1" ht="13.8">
      <c r="B5" s="82" t="s">
        <v>356</v>
      </c>
      <c r="E5" s="74"/>
      <c r="F5" s="74"/>
      <c r="G5" s="74"/>
      <c r="H5" s="74"/>
      <c r="I5" s="74"/>
    </row>
    <row r="6" spans="1:26" s="76" customFormat="1">
      <c r="C6" s="77"/>
      <c r="E6" s="77"/>
    </row>
    <row r="7" spans="1:26" s="76" customFormat="1">
      <c r="B7" s="114"/>
      <c r="C7" s="66" t="s">
        <v>355</v>
      </c>
      <c r="E7" s="66"/>
    </row>
    <row r="8" spans="1:26" s="76" customFormat="1" ht="16.8">
      <c r="B8" s="115"/>
      <c r="C8" s="81" t="s">
        <v>354</v>
      </c>
      <c r="G8" s="67"/>
    </row>
    <row r="9" spans="1:26" s="67" customFormat="1" ht="16.8">
      <c r="B9" s="116"/>
      <c r="C9" s="81" t="s">
        <v>353</v>
      </c>
    </row>
    <row r="10" spans="1:26">
      <c r="D10" s="69"/>
      <c r="F10" s="69"/>
    </row>
    <row r="11" spans="1:26" s="73" customFormat="1" ht="21" customHeight="1">
      <c r="B11" s="75" t="s">
        <v>360</v>
      </c>
      <c r="E11" s="74"/>
      <c r="F11" s="74"/>
      <c r="G11" s="74"/>
      <c r="H11" s="74"/>
      <c r="I11" s="74"/>
    </row>
    <row r="12" spans="1:26">
      <c r="D12" s="69"/>
      <c r="F12" s="69"/>
    </row>
    <row r="13" spans="1:26" s="76" customFormat="1">
      <c r="B13" s="80" t="s">
        <v>84</v>
      </c>
      <c r="C13" s="79" t="s">
        <v>352</v>
      </c>
      <c r="E13" s="77"/>
    </row>
    <row r="14" spans="1:26" s="67" customFormat="1" ht="3" customHeight="1">
      <c r="C14" s="68"/>
      <c r="D14" s="68"/>
      <c r="E14" s="68"/>
      <c r="F14" s="68"/>
      <c r="H14" s="68"/>
      <c r="I14" s="68"/>
      <c r="J14" s="68"/>
    </row>
    <row r="15" spans="1:26" s="76" customFormat="1">
      <c r="B15" s="117" t="s">
        <v>351</v>
      </c>
      <c r="C15" s="78" t="s">
        <v>350</v>
      </c>
      <c r="E15" s="77"/>
    </row>
    <row r="16" spans="1:26">
      <c r="D16" s="69"/>
      <c r="F16" s="69"/>
    </row>
    <row r="17" spans="2:10" s="73" customFormat="1" ht="21" customHeight="1">
      <c r="B17" s="75" t="s">
        <v>349</v>
      </c>
      <c r="E17" s="74"/>
      <c r="F17" s="74"/>
      <c r="G17" s="74"/>
      <c r="H17" s="74"/>
      <c r="I17" s="74"/>
    </row>
    <row r="18" spans="2:10">
      <c r="B18" s="72"/>
      <c r="D18" s="69"/>
      <c r="F18" s="69"/>
    </row>
    <row r="19" spans="2:10">
      <c r="B19" s="72"/>
      <c r="C19" s="71" t="s">
        <v>361</v>
      </c>
      <c r="D19" s="70" t="s">
        <v>348</v>
      </c>
      <c r="F19" s="69"/>
    </row>
    <row r="20" spans="2:10" s="67" customFormat="1" ht="3" customHeight="1"/>
    <row r="21" spans="2:10" s="67" customFormat="1" ht="16.8">
      <c r="B21" s="66" t="s">
        <v>347</v>
      </c>
      <c r="C21" s="118" t="s">
        <v>2902</v>
      </c>
      <c r="D21" s="65" t="s">
        <v>346</v>
      </c>
      <c r="E21" s="64"/>
      <c r="F21" s="68"/>
      <c r="G21" s="64"/>
      <c r="H21" s="68"/>
      <c r="I21" s="64"/>
      <c r="J21" s="68"/>
    </row>
    <row r="22" spans="2:10" s="67" customFormat="1" ht="3" customHeight="1"/>
    <row r="23" spans="2:10" s="67" customFormat="1" ht="16.8">
      <c r="B23" s="66" t="s">
        <v>345</v>
      </c>
      <c r="C23" s="118" t="s">
        <v>2911</v>
      </c>
      <c r="D23" s="65" t="s">
        <v>344</v>
      </c>
      <c r="E23" s="64"/>
      <c r="F23" s="68"/>
      <c r="G23" s="64"/>
      <c r="H23" s="68"/>
      <c r="I23" s="64"/>
      <c r="J23" s="68"/>
    </row>
    <row r="24" spans="2:10" s="67" customFormat="1" ht="3" customHeight="1">
      <c r="B24" s="66"/>
    </row>
    <row r="25" spans="2:10" s="67" customFormat="1" ht="16.8">
      <c r="B25" s="67" t="s">
        <v>343</v>
      </c>
      <c r="C25" s="118" t="s">
        <v>2997</v>
      </c>
      <c r="D25" s="65" t="s">
        <v>342</v>
      </c>
      <c r="E25" s="64"/>
      <c r="F25" s="68"/>
      <c r="G25" s="64"/>
      <c r="H25" s="68"/>
      <c r="I25" s="64"/>
      <c r="J25" s="68"/>
    </row>
    <row r="26" spans="2:10" s="67" customFormat="1" ht="3" customHeight="1">
      <c r="B26" s="66"/>
    </row>
    <row r="27" spans="2:10" s="67" customFormat="1" ht="16.8">
      <c r="B27" s="66" t="s">
        <v>341</v>
      </c>
      <c r="C27" s="118" t="s">
        <v>2999</v>
      </c>
      <c r="D27" s="65" t="s">
        <v>340</v>
      </c>
      <c r="E27" s="64"/>
      <c r="F27" s="68"/>
      <c r="G27" s="64"/>
      <c r="H27" s="68"/>
      <c r="I27" s="64"/>
      <c r="J27" s="68"/>
    </row>
    <row r="28" spans="2:10" s="67" customFormat="1" ht="3" customHeight="1"/>
    <row r="29" spans="2:10" s="67" customFormat="1" ht="16.8">
      <c r="B29" s="66" t="s">
        <v>339</v>
      </c>
      <c r="C29" s="118" t="s">
        <v>2903</v>
      </c>
      <c r="D29" s="65" t="s">
        <v>338</v>
      </c>
      <c r="E29" s="64"/>
      <c r="F29" s="68"/>
      <c r="G29" s="64"/>
      <c r="H29" s="68"/>
      <c r="I29" s="64"/>
      <c r="J29" s="68"/>
    </row>
    <row r="30" spans="2:10" s="67" customFormat="1" ht="3" customHeight="1">
      <c r="B30" s="66"/>
    </row>
    <row r="31" spans="2:10" s="67" customFormat="1" ht="16.8">
      <c r="B31" s="66" t="s">
        <v>337</v>
      </c>
      <c r="C31" s="118" t="s">
        <v>3002</v>
      </c>
      <c r="D31" s="65" t="s">
        <v>336</v>
      </c>
      <c r="E31" s="64"/>
      <c r="F31" s="68"/>
      <c r="G31" s="64"/>
      <c r="H31" s="68"/>
      <c r="I31" s="64"/>
      <c r="J31" s="68"/>
    </row>
    <row r="32" spans="2:10" s="67" customFormat="1" ht="3" customHeight="1"/>
    <row r="33" spans="2:4" ht="16.8">
      <c r="B33" s="66" t="s">
        <v>335</v>
      </c>
      <c r="C33" s="118" t="s">
        <v>3003</v>
      </c>
      <c r="D33" s="65" t="s">
        <v>334</v>
      </c>
    </row>
    <row r="34" spans="2:4" s="67" customFormat="1" ht="3" customHeight="1"/>
    <row r="35" spans="2:4" ht="16.8">
      <c r="B35" s="66" t="s">
        <v>333</v>
      </c>
      <c r="C35" s="118" t="s">
        <v>2910</v>
      </c>
      <c r="D35" s="65" t="s">
        <v>332</v>
      </c>
    </row>
    <row r="36" spans="2:4" s="67" customFormat="1" ht="3" customHeight="1"/>
    <row r="37" spans="2:4" ht="16.8">
      <c r="B37" s="66" t="s">
        <v>331</v>
      </c>
      <c r="C37" s="118" t="s">
        <v>2995</v>
      </c>
      <c r="D37" s="65" t="s">
        <v>330</v>
      </c>
    </row>
    <row r="38" spans="2:4" s="67" customFormat="1" ht="3" customHeight="1"/>
    <row r="39" spans="2:4" ht="16.8">
      <c r="B39" s="66" t="s">
        <v>329</v>
      </c>
      <c r="C39" s="118" t="s">
        <v>2996</v>
      </c>
      <c r="D39" s="65" t="s">
        <v>328</v>
      </c>
    </row>
    <row r="40" spans="2:4" s="67" customFormat="1" ht="3" customHeight="1"/>
    <row r="41" spans="2:4" ht="16.8">
      <c r="B41" s="66" t="s">
        <v>327</v>
      </c>
      <c r="C41" s="118" t="s">
        <v>2998</v>
      </c>
      <c r="D41" s="65" t="s">
        <v>326</v>
      </c>
    </row>
    <row r="42" spans="2:4" s="67" customFormat="1" ht="3" customHeight="1"/>
    <row r="43" spans="2:4" ht="16.8">
      <c r="B43" s="66" t="s">
        <v>325</v>
      </c>
      <c r="C43" s="118" t="s">
        <v>3000</v>
      </c>
      <c r="D43" s="65" t="s">
        <v>324</v>
      </c>
    </row>
    <row r="44" spans="2:4" s="67" customFormat="1" ht="3" customHeight="1"/>
    <row r="45" spans="2:4" ht="16.8">
      <c r="B45" s="66" t="s">
        <v>323</v>
      </c>
      <c r="C45" s="118" t="s">
        <v>3001</v>
      </c>
      <c r="D45" s="65" t="s">
        <v>322</v>
      </c>
    </row>
    <row r="46" spans="2:4" s="67" customFormat="1" ht="3" customHeight="1"/>
    <row r="47" spans="2:4" ht="16.8">
      <c r="B47" s="66" t="s">
        <v>321</v>
      </c>
      <c r="C47" s="118" t="s">
        <v>3006</v>
      </c>
      <c r="D47" s="65" t="s">
        <v>320</v>
      </c>
    </row>
    <row r="48" spans="2:4" s="67" customFormat="1" ht="3" customHeight="1"/>
    <row r="49" spans="2:4" ht="16.8">
      <c r="B49" s="66" t="s">
        <v>319</v>
      </c>
      <c r="C49" s="118" t="s">
        <v>3005</v>
      </c>
      <c r="D49" s="65" t="s">
        <v>318</v>
      </c>
    </row>
    <row r="50" spans="2:4" s="67" customFormat="1" ht="3" customHeight="1"/>
    <row r="51" spans="2:4" ht="16.8">
      <c r="B51" s="66" t="s">
        <v>317</v>
      </c>
      <c r="C51" s="118" t="s">
        <v>3007</v>
      </c>
      <c r="D51" s="65" t="s">
        <v>316</v>
      </c>
    </row>
    <row r="52" spans="2:4" s="67" customFormat="1" ht="3" customHeight="1"/>
    <row r="53" spans="2:4" ht="16.8">
      <c r="B53" s="66" t="s">
        <v>315</v>
      </c>
      <c r="C53" s="118" t="s">
        <v>2901</v>
      </c>
      <c r="D53" s="65" t="s">
        <v>314</v>
      </c>
    </row>
    <row r="54" spans="2:4" s="67" customFormat="1" ht="3" customHeight="1"/>
    <row r="55" spans="2:4" ht="16.8">
      <c r="B55" s="66" t="s">
        <v>313</v>
      </c>
      <c r="C55" s="118" t="s">
        <v>2909</v>
      </c>
      <c r="D55" s="65" t="s">
        <v>312</v>
      </c>
    </row>
    <row r="56" spans="2:4" s="67" customFormat="1" ht="3" customHeight="1"/>
    <row r="57" spans="2:4" ht="16.8">
      <c r="B57" s="66" t="s">
        <v>311</v>
      </c>
      <c r="C57" s="118" t="s">
        <v>3041</v>
      </c>
      <c r="D57" s="65" t="s">
        <v>310</v>
      </c>
    </row>
    <row r="58" spans="2:4" s="67" customFormat="1" ht="3" customHeight="1"/>
    <row r="59" spans="2:4" ht="16.8">
      <c r="B59" s="66" t="s">
        <v>309</v>
      </c>
      <c r="C59" s="118" t="s">
        <v>3042</v>
      </c>
      <c r="D59" s="65" t="s">
        <v>308</v>
      </c>
    </row>
    <row r="60" spans="2:4" s="67" customFormat="1" ht="3" customHeight="1"/>
    <row r="61" spans="2:4" ht="16.8">
      <c r="B61" s="66" t="s">
        <v>307</v>
      </c>
      <c r="C61" s="118" t="s">
        <v>3043</v>
      </c>
      <c r="D61" s="65" t="s">
        <v>306</v>
      </c>
    </row>
    <row r="62" spans="2:4" s="67" customFormat="1" ht="3" customHeight="1"/>
    <row r="63" spans="2:4" ht="16.8">
      <c r="B63" s="66" t="s">
        <v>305</v>
      </c>
      <c r="C63" s="118" t="s">
        <v>3044</v>
      </c>
      <c r="D63" s="65" t="s">
        <v>304</v>
      </c>
    </row>
    <row r="64" spans="2:4" s="67" customFormat="1" ht="3" customHeight="1"/>
    <row r="65" spans="2:4" ht="16.8">
      <c r="B65" s="66" t="s">
        <v>303</v>
      </c>
      <c r="C65" s="118" t="s">
        <v>3045</v>
      </c>
      <c r="D65" s="65" t="s">
        <v>302</v>
      </c>
    </row>
    <row r="66" spans="2:4" s="67" customFormat="1" ht="3" customHeight="1"/>
    <row r="67" spans="2:4" ht="16.8">
      <c r="B67" s="66" t="s">
        <v>301</v>
      </c>
      <c r="C67" s="118"/>
      <c r="D67" s="65" t="s">
        <v>300</v>
      </c>
    </row>
    <row r="68" spans="2:4" s="67" customFormat="1" ht="3" customHeight="1"/>
    <row r="69" spans="2:4" ht="16.8">
      <c r="B69" s="66" t="s">
        <v>299</v>
      </c>
      <c r="C69" s="118"/>
      <c r="D69" s="65" t="s">
        <v>298</v>
      </c>
    </row>
    <row r="70" spans="2:4" s="67" customFormat="1" ht="3" customHeight="1"/>
    <row r="71" spans="2:4" ht="16.8">
      <c r="B71" s="66" t="s">
        <v>299</v>
      </c>
      <c r="C71" s="118"/>
      <c r="D71" s="1201" t="s">
        <v>3040</v>
      </c>
    </row>
  </sheetData>
  <hyperlinks>
    <hyperlink ref="C3"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Q81"/>
  <sheetViews>
    <sheetView workbookViewId="0">
      <selection activeCell="H20" sqref="H20"/>
    </sheetView>
  </sheetViews>
  <sheetFormatPr defaultRowHeight="13.8"/>
  <cols>
    <col min="1" max="2" width="3.36328125" customWidth="1"/>
    <col min="3" max="3" width="31.90625" customWidth="1"/>
  </cols>
  <sheetData>
    <row r="1" spans="1:17" s="168" customFormat="1" ht="20.100000000000001" customHeight="1">
      <c r="C1" s="169" t="s">
        <v>403</v>
      </c>
      <c r="D1" s="169"/>
      <c r="E1" s="170"/>
      <c r="F1" s="170"/>
      <c r="G1" s="169"/>
      <c r="H1" s="170"/>
      <c r="I1" s="170"/>
      <c r="J1" s="169"/>
      <c r="K1" s="170"/>
      <c r="L1" s="170"/>
      <c r="M1" s="169"/>
      <c r="N1" s="170"/>
      <c r="P1" s="169"/>
      <c r="Q1" s="170"/>
    </row>
    <row r="2" spans="1:17" s="149" customFormat="1">
      <c r="A2" s="148"/>
      <c r="G2" s="148"/>
      <c r="H2" s="150"/>
      <c r="I2" s="150"/>
      <c r="J2" s="150"/>
      <c r="K2" s="150"/>
      <c r="L2" s="150"/>
      <c r="M2" s="150"/>
      <c r="N2" s="150"/>
      <c r="O2" s="150"/>
      <c r="P2" s="148"/>
    </row>
    <row r="4" spans="1:17">
      <c r="C4" s="890">
        <v>4</v>
      </c>
      <c r="D4" t="s">
        <v>722</v>
      </c>
    </row>
    <row r="6" spans="1:17">
      <c r="C6" s="274"/>
      <c r="D6" t="s">
        <v>723</v>
      </c>
    </row>
    <row r="7" spans="1:17">
      <c r="C7" s="273"/>
      <c r="D7" t="s">
        <v>724</v>
      </c>
    </row>
    <row r="8" spans="1:17" s="168" customFormat="1" ht="20.100000000000001" customHeight="1">
      <c r="C8" s="169" t="s">
        <v>494</v>
      </c>
      <c r="D8" s="169"/>
      <c r="E8" s="170"/>
      <c r="F8" s="170"/>
      <c r="G8" s="169"/>
      <c r="H8" s="170"/>
      <c r="I8" s="170"/>
      <c r="J8" s="169"/>
      <c r="K8" s="170"/>
      <c r="L8" s="170"/>
      <c r="M8" s="169"/>
      <c r="N8" s="170"/>
      <c r="P8" s="169"/>
      <c r="Q8" s="170"/>
    </row>
    <row r="9" spans="1:17" s="149" customFormat="1">
      <c r="A9" s="148"/>
      <c r="G9" s="148"/>
      <c r="H9" s="150"/>
      <c r="I9" s="150"/>
      <c r="J9" s="150"/>
      <c r="K9" s="150"/>
      <c r="L9" s="150"/>
      <c r="M9" s="150"/>
      <c r="N9" s="150"/>
      <c r="O9" s="150"/>
      <c r="P9" s="148"/>
    </row>
    <row r="11" spans="1:17">
      <c r="C11" s="890">
        <v>6</v>
      </c>
      <c r="D11" t="s">
        <v>1113</v>
      </c>
    </row>
    <row r="13" spans="1:17">
      <c r="C13" s="897"/>
      <c r="D13" t="s">
        <v>1114</v>
      </c>
    </row>
    <row r="14" spans="1:17">
      <c r="C14" s="273"/>
      <c r="D14" t="s">
        <v>1115</v>
      </c>
    </row>
    <row r="17" spans="1:17">
      <c r="C17" s="891" t="s">
        <v>1116</v>
      </c>
      <c r="D17" t="s">
        <v>1117</v>
      </c>
    </row>
    <row r="19" spans="1:17">
      <c r="C19" s="891" t="s">
        <v>2662</v>
      </c>
      <c r="D19" t="s">
        <v>1119</v>
      </c>
    </row>
    <row r="21" spans="1:17">
      <c r="C21" s="891" t="s">
        <v>1118</v>
      </c>
      <c r="D21" t="s">
        <v>1120</v>
      </c>
    </row>
    <row r="23" spans="1:17">
      <c r="C23" s="891" t="s">
        <v>1121</v>
      </c>
      <c r="D23" t="s">
        <v>1122</v>
      </c>
    </row>
    <row r="25" spans="1:17">
      <c r="C25" s="891" t="s">
        <v>2661</v>
      </c>
      <c r="D25" t="s">
        <v>2660</v>
      </c>
    </row>
    <row r="28" spans="1:17" s="168" customFormat="1" ht="20.100000000000001" customHeight="1">
      <c r="C28" s="169" t="s">
        <v>365</v>
      </c>
      <c r="D28" s="169"/>
      <c r="E28" s="170"/>
      <c r="F28" s="170"/>
      <c r="G28" s="169"/>
      <c r="H28" s="170"/>
      <c r="I28" s="170"/>
      <c r="J28" s="169"/>
      <c r="K28" s="170"/>
      <c r="L28" s="170"/>
      <c r="M28" s="169"/>
      <c r="N28" s="170"/>
      <c r="P28" s="169"/>
      <c r="Q28" s="170"/>
    </row>
    <row r="29" spans="1:17" s="149" customFormat="1">
      <c r="A29" s="148"/>
      <c r="G29" s="148"/>
      <c r="H29" s="150"/>
      <c r="I29" s="150"/>
      <c r="J29" s="150"/>
      <c r="K29" s="150"/>
      <c r="L29" s="150"/>
      <c r="M29" s="150"/>
      <c r="N29" s="150"/>
      <c r="O29" s="150"/>
      <c r="P29" s="148"/>
    </row>
    <row r="31" spans="1:17">
      <c r="C31" s="890">
        <v>5</v>
      </c>
      <c r="D31" t="s">
        <v>1104</v>
      </c>
    </row>
    <row r="33" spans="1:17">
      <c r="C33" s="897"/>
      <c r="D33" t="s">
        <v>1105</v>
      </c>
    </row>
    <row r="34" spans="1:17">
      <c r="C34" s="273"/>
      <c r="D34" t="s">
        <v>1106</v>
      </c>
    </row>
    <row r="37" spans="1:17">
      <c r="C37" s="891" t="s">
        <v>1107</v>
      </c>
      <c r="D37" t="s">
        <v>1108</v>
      </c>
    </row>
    <row r="39" spans="1:17">
      <c r="C39" s="891" t="s">
        <v>2664</v>
      </c>
      <c r="D39" t="s">
        <v>1110</v>
      </c>
    </row>
    <row r="41" spans="1:17">
      <c r="C41" s="891" t="s">
        <v>1109</v>
      </c>
      <c r="D41" t="s">
        <v>1111</v>
      </c>
    </row>
    <row r="43" spans="1:17">
      <c r="C43" s="891" t="s">
        <v>1112</v>
      </c>
      <c r="D43" t="s">
        <v>2663</v>
      </c>
    </row>
    <row r="46" spans="1:17" s="168" customFormat="1" ht="20.100000000000001" customHeight="1">
      <c r="C46" s="169" t="s">
        <v>455</v>
      </c>
      <c r="D46" s="169"/>
      <c r="E46" s="170"/>
      <c r="F46" s="170"/>
      <c r="G46" s="169"/>
      <c r="H46" s="170"/>
      <c r="I46" s="170"/>
      <c r="J46" s="169"/>
      <c r="K46" s="170"/>
      <c r="L46" s="170"/>
      <c r="M46" s="169"/>
      <c r="N46" s="170"/>
      <c r="P46" s="169"/>
      <c r="Q46" s="170"/>
    </row>
    <row r="47" spans="1:17" s="149" customFormat="1">
      <c r="A47" s="148"/>
      <c r="G47" s="148"/>
      <c r="H47" s="150"/>
      <c r="I47" s="150"/>
      <c r="J47" s="150"/>
      <c r="K47" s="150"/>
      <c r="L47" s="150"/>
      <c r="M47" s="150"/>
      <c r="N47" s="150"/>
      <c r="O47" s="150"/>
      <c r="P47" s="148"/>
    </row>
    <row r="49" spans="3:4">
      <c r="C49" s="890">
        <v>4</v>
      </c>
      <c r="D49" t="s">
        <v>725</v>
      </c>
    </row>
    <row r="51" spans="3:4">
      <c r="C51" s="274"/>
      <c r="D51" t="s">
        <v>726</v>
      </c>
    </row>
    <row r="52" spans="3:4">
      <c r="C52" s="273"/>
      <c r="D52" t="s">
        <v>727</v>
      </c>
    </row>
    <row r="54" spans="3:4">
      <c r="C54" s="891" t="s">
        <v>732</v>
      </c>
      <c r="D54" t="s">
        <v>728</v>
      </c>
    </row>
    <row r="56" spans="3:4">
      <c r="C56" s="891" t="s">
        <v>931</v>
      </c>
      <c r="D56" t="s">
        <v>729</v>
      </c>
    </row>
    <row r="58" spans="3:4">
      <c r="C58" s="891" t="s">
        <v>1102</v>
      </c>
      <c r="D58" t="s">
        <v>730</v>
      </c>
    </row>
    <row r="60" spans="3:4">
      <c r="C60" s="891"/>
      <c r="D60" t="s">
        <v>731</v>
      </c>
    </row>
    <row r="62" spans="3:4">
      <c r="C62" s="891"/>
      <c r="D62" t="s">
        <v>930</v>
      </c>
    </row>
    <row r="64" spans="3:4">
      <c r="C64" s="892"/>
      <c r="D64" t="s">
        <v>1103</v>
      </c>
    </row>
    <row r="66" spans="1:17" s="168" customFormat="1" ht="20.100000000000001" customHeight="1">
      <c r="C66" s="169" t="s">
        <v>448</v>
      </c>
      <c r="D66" s="169"/>
      <c r="E66" s="170"/>
      <c r="F66" s="170"/>
      <c r="G66" s="169"/>
      <c r="H66" s="170"/>
      <c r="I66" s="170"/>
      <c r="J66" s="169"/>
      <c r="K66" s="170"/>
      <c r="L66" s="170"/>
      <c r="M66" s="169"/>
      <c r="N66" s="170"/>
      <c r="P66" s="169"/>
      <c r="Q66" s="170"/>
    </row>
    <row r="67" spans="1:17" s="149" customFormat="1">
      <c r="A67" s="148"/>
      <c r="G67" s="148"/>
      <c r="H67" s="150"/>
      <c r="I67" s="150"/>
      <c r="J67" s="150"/>
      <c r="K67" s="150"/>
      <c r="L67" s="150"/>
      <c r="M67" s="150"/>
      <c r="N67" s="150"/>
      <c r="O67" s="150"/>
      <c r="P67" s="148"/>
    </row>
    <row r="69" spans="1:17">
      <c r="C69" s="890">
        <v>5</v>
      </c>
      <c r="D69" t="s">
        <v>733</v>
      </c>
    </row>
    <row r="71" spans="1:17">
      <c r="C71" s="275"/>
      <c r="D71" t="s">
        <v>734</v>
      </c>
    </row>
    <row r="72" spans="1:17">
      <c r="C72" s="273"/>
      <c r="D72" t="s">
        <v>735</v>
      </c>
    </row>
    <row r="75" spans="1:17">
      <c r="C75" s="891" t="s">
        <v>740</v>
      </c>
      <c r="D75" t="s">
        <v>736</v>
      </c>
    </row>
    <row r="77" spans="1:17">
      <c r="C77" s="891" t="s">
        <v>741</v>
      </c>
      <c r="D77" t="s">
        <v>737</v>
      </c>
    </row>
    <row r="79" spans="1:17">
      <c r="C79" s="891" t="s">
        <v>742</v>
      </c>
      <c r="D79" t="s">
        <v>738</v>
      </c>
    </row>
    <row r="81" spans="3:4">
      <c r="C81" s="891" t="s">
        <v>743</v>
      </c>
      <c r="D81" t="s">
        <v>739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FF00"/>
  </sheetPr>
  <dimension ref="A1:R139"/>
  <sheetViews>
    <sheetView topLeftCell="D24" workbookViewId="0">
      <selection activeCell="M28" sqref="M28"/>
    </sheetView>
  </sheetViews>
  <sheetFormatPr defaultColWidth="5.90625" defaultRowHeight="13.8"/>
  <cols>
    <col min="1" max="1" width="1.08984375" style="158" customWidth="1"/>
    <col min="2" max="2" width="0.7265625" style="158" customWidth="1"/>
    <col min="3" max="3" width="18.453125" style="158" customWidth="1"/>
    <col min="4" max="4" width="29.36328125" style="158" customWidth="1"/>
    <col min="5" max="5" width="8.984375E-2" style="164" customWidth="1"/>
    <col min="6" max="6" width="5.1796875" style="158" customWidth="1"/>
    <col min="7" max="7" width="9.36328125" style="158" customWidth="1"/>
    <col min="8" max="8" width="15.90625" style="158" customWidth="1"/>
    <col min="9" max="9" width="2.7265625" style="158" customWidth="1"/>
    <col min="10" max="10" width="11.81640625" style="158" bestFit="1" customWidth="1"/>
    <col min="11" max="11" width="15.90625" style="158" customWidth="1"/>
    <col min="12" max="12" width="2.7265625" style="158" customWidth="1"/>
    <col min="13" max="13" width="9.36328125" style="158" customWidth="1"/>
    <col min="14" max="14" width="15.90625" style="158" customWidth="1"/>
    <col min="15" max="15" width="2.7265625" style="158" customWidth="1"/>
    <col min="16" max="16" width="26.453125" style="158" customWidth="1"/>
    <col min="17" max="17" width="15.90625" style="158" customWidth="1"/>
    <col min="18" max="35" width="9.36328125" style="158" customWidth="1"/>
    <col min="36" max="16384" width="5.90625" style="158"/>
  </cols>
  <sheetData>
    <row r="1" spans="1:18" s="142" customFormat="1">
      <c r="A1" s="141" t="s">
        <v>381</v>
      </c>
    </row>
    <row r="2" spans="1:18" s="143" customFormat="1">
      <c r="C2" s="144"/>
      <c r="D2" s="144"/>
      <c r="E2" s="144"/>
      <c r="F2" s="144"/>
      <c r="G2" s="144"/>
      <c r="I2" s="144"/>
      <c r="J2" s="144"/>
      <c r="K2" s="144"/>
      <c r="L2" s="144"/>
      <c r="M2" s="144"/>
      <c r="N2" s="144"/>
      <c r="O2" s="144"/>
    </row>
    <row r="3" spans="1:18" s="143" customFormat="1">
      <c r="C3" s="143" t="s">
        <v>358</v>
      </c>
      <c r="D3" s="145" t="s">
        <v>382</v>
      </c>
      <c r="F3" s="145"/>
      <c r="G3" s="146"/>
      <c r="I3" s="146"/>
      <c r="J3" s="146"/>
      <c r="K3" s="146"/>
      <c r="L3" s="146"/>
      <c r="M3" s="146"/>
      <c r="N3" s="146"/>
      <c r="O3" s="146"/>
    </row>
    <row r="4" spans="1:18" s="147" customFormat="1"/>
    <row r="5" spans="1:18" s="149" customFormat="1">
      <c r="A5" s="148"/>
      <c r="C5" s="149" t="s">
        <v>356</v>
      </c>
      <c r="G5" s="150"/>
      <c r="H5" s="150"/>
      <c r="I5" s="150"/>
      <c r="J5" s="150"/>
      <c r="K5" s="150"/>
      <c r="L5" s="150"/>
      <c r="M5" s="150"/>
      <c r="N5" s="150"/>
      <c r="O5" s="150"/>
      <c r="P5" s="150"/>
    </row>
    <row r="6" spans="1:18" s="147" customFormat="1"/>
    <row r="7" spans="1:18" s="147" customFormat="1">
      <c r="C7" s="151" t="s">
        <v>383</v>
      </c>
      <c r="D7" s="151"/>
      <c r="E7" s="151"/>
      <c r="F7" s="151"/>
      <c r="K7" s="152" t="s">
        <v>384</v>
      </c>
    </row>
    <row r="8" spans="1:18" s="147" customFormat="1">
      <c r="C8" s="153"/>
      <c r="D8" s="154" t="s">
        <v>385</v>
      </c>
      <c r="K8" s="155"/>
      <c r="L8" s="154" t="s">
        <v>386</v>
      </c>
    </row>
    <row r="9" spans="1:18" s="147" customFormat="1">
      <c r="C9" s="156"/>
      <c r="D9" s="154" t="s">
        <v>354</v>
      </c>
    </row>
    <row r="10" spans="1:18" s="147" customFormat="1">
      <c r="C10" s="157"/>
      <c r="D10" s="154" t="s">
        <v>387</v>
      </c>
    </row>
    <row r="11" spans="1:18">
      <c r="B11" s="159"/>
      <c r="E11" s="160"/>
      <c r="F11" s="160"/>
      <c r="G11" s="161"/>
      <c r="H11" s="161"/>
      <c r="I11" s="161"/>
      <c r="J11" s="161"/>
      <c r="K11" s="161"/>
      <c r="L11" s="161"/>
      <c r="M11" s="161"/>
      <c r="N11" s="161"/>
      <c r="O11" s="161"/>
      <c r="P11" s="161"/>
    </row>
    <row r="12" spans="1:18" s="168" customFormat="1" ht="20.100000000000001" hidden="1" customHeight="1">
      <c r="C12" s="169" t="s">
        <v>391</v>
      </c>
      <c r="D12" s="169"/>
      <c r="E12" s="170"/>
      <c r="F12" s="170"/>
      <c r="G12" s="169"/>
      <c r="H12" s="170"/>
      <c r="I12" s="170"/>
      <c r="J12" s="169"/>
      <c r="K12" s="170"/>
      <c r="L12" s="170"/>
      <c r="M12" s="169"/>
      <c r="N12" s="170"/>
      <c r="P12" s="169"/>
      <c r="Q12" s="170"/>
    </row>
    <row r="13" spans="1:18" s="149" customFormat="1" hidden="1">
      <c r="A13" s="148"/>
      <c r="C13" s="149" t="s">
        <v>356</v>
      </c>
      <c r="G13" s="148" t="s">
        <v>388</v>
      </c>
      <c r="H13" s="150"/>
      <c r="I13" s="150"/>
      <c r="J13" s="150" t="s">
        <v>389</v>
      </c>
      <c r="K13" s="150"/>
      <c r="L13" s="150"/>
      <c r="M13" s="150" t="s">
        <v>390</v>
      </c>
      <c r="N13" s="150"/>
      <c r="O13" s="150"/>
      <c r="P13" s="148" t="s">
        <v>3107</v>
      </c>
    </row>
    <row r="14" spans="1:18" hidden="1"/>
    <row r="15" spans="1:18" hidden="1">
      <c r="C15" s="158" t="s">
        <v>380</v>
      </c>
      <c r="G15" s="166">
        <v>1</v>
      </c>
      <c r="H15" s="158" t="s">
        <v>499</v>
      </c>
      <c r="J15" s="166">
        <v>1</v>
      </c>
      <c r="K15" s="158" t="s">
        <v>498</v>
      </c>
      <c r="M15" s="166">
        <v>0</v>
      </c>
      <c r="N15" s="158" t="s">
        <v>497</v>
      </c>
      <c r="P15" s="171" t="s">
        <v>3108</v>
      </c>
      <c r="Q15" s="158" t="s">
        <v>496</v>
      </c>
      <c r="R15" s="165"/>
    </row>
    <row r="16" spans="1:18" hidden="1">
      <c r="G16" s="167"/>
      <c r="J16" s="167"/>
      <c r="M16" s="167"/>
      <c r="R16" s="165"/>
    </row>
    <row r="17" spans="1:18" hidden="1">
      <c r="G17" s="167"/>
      <c r="J17" s="167"/>
      <c r="M17" s="167"/>
      <c r="R17" s="165"/>
    </row>
    <row r="18" spans="1:18" hidden="1">
      <c r="C18" s="158" t="s">
        <v>378</v>
      </c>
      <c r="G18" s="166">
        <v>1</v>
      </c>
      <c r="H18" s="158" t="s">
        <v>500</v>
      </c>
      <c r="J18" s="166">
        <v>1</v>
      </c>
      <c r="K18" s="158" t="s">
        <v>510</v>
      </c>
      <c r="M18" s="166">
        <v>0</v>
      </c>
      <c r="N18" s="158" t="s">
        <v>520</v>
      </c>
      <c r="P18" s="171" t="s">
        <v>3109</v>
      </c>
      <c r="Q18" s="158" t="s">
        <v>530</v>
      </c>
      <c r="R18" s="165"/>
    </row>
    <row r="19" spans="1:18" hidden="1">
      <c r="G19" s="167"/>
      <c r="J19" s="167"/>
      <c r="M19" s="167"/>
    </row>
    <row r="20" spans="1:18" hidden="1">
      <c r="G20" s="167"/>
      <c r="J20" s="167"/>
      <c r="M20" s="167"/>
      <c r="R20" s="165"/>
    </row>
    <row r="21" spans="1:18" hidden="1">
      <c r="C21" s="158" t="s">
        <v>379</v>
      </c>
      <c r="G21" s="166">
        <v>1</v>
      </c>
      <c r="H21" s="158" t="s">
        <v>501</v>
      </c>
      <c r="J21" s="166">
        <v>1</v>
      </c>
      <c r="K21" s="158" t="s">
        <v>511</v>
      </c>
      <c r="M21" s="166">
        <v>0</v>
      </c>
      <c r="N21" s="158" t="s">
        <v>521</v>
      </c>
      <c r="P21" s="171" t="s">
        <v>3110</v>
      </c>
      <c r="Q21" s="158" t="s">
        <v>531</v>
      </c>
      <c r="R21" s="165"/>
    </row>
    <row r="22" spans="1:18" hidden="1"/>
    <row r="23" spans="1:18" s="168" customFormat="1" ht="20.100000000000001" customHeight="1">
      <c r="C23" s="169" t="s">
        <v>1086</v>
      </c>
      <c r="D23" s="169"/>
      <c r="E23" s="170"/>
      <c r="F23" s="170"/>
      <c r="G23" s="169"/>
      <c r="H23" s="170"/>
      <c r="I23" s="170"/>
      <c r="J23" s="169"/>
      <c r="K23" s="170"/>
      <c r="L23" s="170"/>
      <c r="M23" s="169"/>
      <c r="N23" s="170"/>
      <c r="P23" s="169"/>
      <c r="Q23" s="170"/>
    </row>
    <row r="24" spans="1:18" s="149" customFormat="1">
      <c r="A24" s="148"/>
      <c r="C24" s="149" t="s">
        <v>356</v>
      </c>
      <c r="G24" s="148" t="s">
        <v>388</v>
      </c>
      <c r="H24" s="150"/>
      <c r="I24" s="150"/>
      <c r="J24" s="150" t="s">
        <v>389</v>
      </c>
      <c r="K24" s="150"/>
      <c r="L24" s="150"/>
      <c r="M24" s="150" t="s">
        <v>390</v>
      </c>
      <c r="N24" s="150"/>
      <c r="O24" s="150"/>
      <c r="P24" s="148" t="s">
        <v>3107</v>
      </c>
      <c r="Q24" s="150"/>
    </row>
    <row r="26" spans="1:18">
      <c r="C26" s="158" t="s">
        <v>2990</v>
      </c>
      <c r="G26" s="256">
        <v>0.01</v>
      </c>
      <c r="H26" s="158" t="s">
        <v>2986</v>
      </c>
      <c r="J26" s="256">
        <v>0.3</v>
      </c>
      <c r="K26" s="158" t="s">
        <v>2987</v>
      </c>
      <c r="M26" s="256">
        <v>0.01</v>
      </c>
      <c r="N26" s="158" t="s">
        <v>2988</v>
      </c>
      <c r="P26" s="171" t="s">
        <v>3057</v>
      </c>
      <c r="Q26" s="158" t="s">
        <v>2989</v>
      </c>
      <c r="R26" s="165"/>
    </row>
    <row r="29" spans="1:18">
      <c r="C29" s="158" t="str">
        <f>nmProd1Seg1&amp; " Market Share"</f>
        <v>Productivity &amp; Business Enterprise Market Share</v>
      </c>
      <c r="G29" s="256">
        <v>0.01</v>
      </c>
      <c r="H29" s="158" t="s">
        <v>502</v>
      </c>
      <c r="J29" s="256">
        <v>0.3</v>
      </c>
      <c r="K29" s="158" t="s">
        <v>512</v>
      </c>
      <c r="M29" s="256">
        <v>0.01</v>
      </c>
      <c r="N29" s="158" t="s">
        <v>522</v>
      </c>
      <c r="P29" s="171" t="s">
        <v>3111</v>
      </c>
      <c r="Q29" s="158" t="s">
        <v>532</v>
      </c>
      <c r="R29" s="165"/>
    </row>
    <row r="30" spans="1:18">
      <c r="G30" s="167"/>
      <c r="J30" s="257"/>
      <c r="M30" s="167"/>
      <c r="R30" s="165"/>
    </row>
    <row r="31" spans="1:18">
      <c r="G31" s="167"/>
      <c r="J31" s="257"/>
      <c r="M31" s="167"/>
      <c r="R31" s="165"/>
    </row>
    <row r="32" spans="1:18">
      <c r="C32" s="158" t="str">
        <f>nmProd1Seg2&amp; " Market Share"</f>
        <v>Productivity &amp; Business SMC Market Share</v>
      </c>
      <c r="G32" s="256">
        <v>0.01</v>
      </c>
      <c r="H32" s="158" t="s">
        <v>503</v>
      </c>
      <c r="J32" s="256">
        <v>0.3</v>
      </c>
      <c r="K32" s="158" t="s">
        <v>513</v>
      </c>
      <c r="M32" s="256">
        <v>0.01</v>
      </c>
      <c r="N32" s="158" t="s">
        <v>523</v>
      </c>
      <c r="P32" s="171" t="s">
        <v>3112</v>
      </c>
      <c r="Q32" s="158" t="s">
        <v>533</v>
      </c>
      <c r="R32" s="165"/>
    </row>
    <row r="33" spans="3:18">
      <c r="G33" s="167"/>
      <c r="J33" s="257"/>
      <c r="M33" s="167"/>
    </row>
    <row r="34" spans="3:18">
      <c r="G34" s="167"/>
      <c r="J34" s="257"/>
      <c r="M34" s="167"/>
      <c r="R34" s="165"/>
    </row>
    <row r="35" spans="3:18">
      <c r="C35" s="158" t="str">
        <f>nmProd1Seg3&amp; " Market Share"</f>
        <v>Productivity &amp; Business Consumer Market Share</v>
      </c>
      <c r="G35" s="256">
        <v>0.01</v>
      </c>
      <c r="H35" s="158" t="s">
        <v>504</v>
      </c>
      <c r="J35" s="256">
        <v>0.3</v>
      </c>
      <c r="K35" s="158" t="s">
        <v>514</v>
      </c>
      <c r="M35" s="256">
        <v>0.01</v>
      </c>
      <c r="N35" s="158" t="s">
        <v>524</v>
      </c>
      <c r="P35" s="171" t="s">
        <v>3113</v>
      </c>
      <c r="Q35" s="158" t="s">
        <v>534</v>
      </c>
      <c r="R35" s="165"/>
    </row>
    <row r="36" spans="3:18">
      <c r="J36" s="257"/>
    </row>
    <row r="37" spans="3:18">
      <c r="J37" s="257"/>
    </row>
    <row r="38" spans="3:18">
      <c r="C38" s="158" t="str">
        <f>nmProd2Seg1&amp; " Market Share"</f>
        <v>Intelligent Cloud Enterprise Market Share</v>
      </c>
      <c r="G38" s="256">
        <v>0.01</v>
      </c>
      <c r="H38" s="158" t="s">
        <v>505</v>
      </c>
      <c r="J38" s="256">
        <v>0.3</v>
      </c>
      <c r="K38" s="158" t="s">
        <v>515</v>
      </c>
      <c r="M38" s="256">
        <v>0.01</v>
      </c>
      <c r="N38" s="158" t="s">
        <v>525</v>
      </c>
      <c r="P38" s="171" t="s">
        <v>3114</v>
      </c>
      <c r="Q38" s="158" t="s">
        <v>535</v>
      </c>
      <c r="R38" s="165"/>
    </row>
    <row r="39" spans="3:18">
      <c r="G39" s="167"/>
      <c r="J39" s="257"/>
      <c r="M39" s="167"/>
      <c r="R39" s="165"/>
    </row>
    <row r="40" spans="3:18">
      <c r="G40" s="167"/>
      <c r="J40" s="257"/>
      <c r="M40" s="167"/>
      <c r="R40" s="165"/>
    </row>
    <row r="41" spans="3:18">
      <c r="C41" s="158" t="str">
        <f>nmProd2Seg2&amp; " Market Share"</f>
        <v>Intelligent Cloud SMC Market Share</v>
      </c>
      <c r="G41" s="256">
        <v>0.01</v>
      </c>
      <c r="H41" s="158" t="s">
        <v>506</v>
      </c>
      <c r="J41" s="256">
        <v>0.3</v>
      </c>
      <c r="K41" s="158" t="s">
        <v>516</v>
      </c>
      <c r="M41" s="256">
        <v>0.01</v>
      </c>
      <c r="N41" s="158" t="s">
        <v>526</v>
      </c>
      <c r="P41" s="171" t="s">
        <v>3115</v>
      </c>
      <c r="Q41" s="158" t="s">
        <v>536</v>
      </c>
      <c r="R41" s="165"/>
    </row>
    <row r="42" spans="3:18">
      <c r="G42" s="167"/>
      <c r="J42" s="257"/>
      <c r="M42" s="167"/>
    </row>
    <row r="43" spans="3:18">
      <c r="J43" s="257"/>
    </row>
    <row r="44" spans="3:18">
      <c r="C44" s="158" t="str">
        <f>nmProd3Seg1&amp; " Market Share"</f>
        <v>Personal Computing Enterprise Market Share</v>
      </c>
      <c r="G44" s="256">
        <v>0.01</v>
      </c>
      <c r="H44" s="158" t="s">
        <v>507</v>
      </c>
      <c r="J44" s="256">
        <v>0.3</v>
      </c>
      <c r="K44" s="158" t="s">
        <v>517</v>
      </c>
      <c r="M44" s="256">
        <v>0.01</v>
      </c>
      <c r="N44" s="158" t="s">
        <v>527</v>
      </c>
      <c r="P44" s="171" t="s">
        <v>3116</v>
      </c>
      <c r="Q44" s="158" t="s">
        <v>537</v>
      </c>
      <c r="R44" s="165"/>
    </row>
    <row r="45" spans="3:18">
      <c r="G45" s="167"/>
      <c r="J45" s="257"/>
      <c r="M45" s="167"/>
      <c r="R45" s="165"/>
    </row>
    <row r="46" spans="3:18">
      <c r="G46" s="167"/>
      <c r="J46" s="257"/>
      <c r="M46" s="167"/>
      <c r="R46" s="165"/>
    </row>
    <row r="47" spans="3:18">
      <c r="C47" s="158" t="str">
        <f>nmProd3Seg2&amp; " Market Share"</f>
        <v>Personal Computing SMC Market Share</v>
      </c>
      <c r="G47" s="256">
        <v>0.01</v>
      </c>
      <c r="H47" s="158" t="s">
        <v>508</v>
      </c>
      <c r="J47" s="256">
        <v>0.3</v>
      </c>
      <c r="K47" s="158" t="s">
        <v>518</v>
      </c>
      <c r="M47" s="256">
        <v>0.01</v>
      </c>
      <c r="N47" s="158" t="s">
        <v>528</v>
      </c>
      <c r="P47" s="171" t="s">
        <v>3117</v>
      </c>
      <c r="Q47" s="158" t="s">
        <v>538</v>
      </c>
      <c r="R47" s="165"/>
    </row>
    <row r="48" spans="3:18">
      <c r="G48" s="167"/>
      <c r="J48" s="257"/>
      <c r="M48" s="167"/>
    </row>
    <row r="49" spans="3:18">
      <c r="G49" s="167"/>
      <c r="J49" s="257"/>
      <c r="M49" s="167"/>
      <c r="R49" s="165"/>
    </row>
    <row r="50" spans="3:18">
      <c r="C50" s="158" t="str">
        <f>nmProd3Seg3&amp; " Market Share"</f>
        <v>Personal Computing Consumer Market Share</v>
      </c>
      <c r="G50" s="256">
        <v>0.01</v>
      </c>
      <c r="H50" s="158" t="s">
        <v>509</v>
      </c>
      <c r="J50" s="256">
        <v>0.3</v>
      </c>
      <c r="K50" s="158" t="s">
        <v>519</v>
      </c>
      <c r="M50" s="256">
        <v>0.01</v>
      </c>
      <c r="N50" s="158" t="s">
        <v>529</v>
      </c>
      <c r="P50" s="171" t="s">
        <v>3118</v>
      </c>
      <c r="Q50" s="158" t="s">
        <v>539</v>
      </c>
      <c r="R50" s="165"/>
    </row>
    <row r="52" spans="3:18">
      <c r="G52" s="167"/>
      <c r="J52" s="257"/>
      <c r="M52" s="167"/>
      <c r="R52" s="165"/>
    </row>
    <row r="53" spans="3:18">
      <c r="C53" s="158" t="s">
        <v>402</v>
      </c>
      <c r="G53" s="519">
        <v>250000</v>
      </c>
      <c r="H53" s="158" t="s">
        <v>544</v>
      </c>
      <c r="J53" s="519">
        <v>10000000</v>
      </c>
      <c r="K53" s="158" t="s">
        <v>545</v>
      </c>
      <c r="M53" s="519">
        <v>0</v>
      </c>
      <c r="N53" s="158" t="s">
        <v>546</v>
      </c>
      <c r="P53" s="171" t="s">
        <v>3119</v>
      </c>
      <c r="Q53" s="158" t="s">
        <v>547</v>
      </c>
      <c r="R53" s="165"/>
    </row>
    <row r="55" spans="3:18">
      <c r="G55" s="167"/>
      <c r="J55" s="257"/>
      <c r="M55" s="167"/>
      <c r="R55" s="165"/>
    </row>
    <row r="56" spans="3:18">
      <c r="C56" s="158" t="s">
        <v>552</v>
      </c>
      <c r="G56" s="256">
        <v>0.05</v>
      </c>
      <c r="H56" s="158" t="s">
        <v>548</v>
      </c>
      <c r="J56" s="256">
        <v>1</v>
      </c>
      <c r="K56" s="158" t="s">
        <v>549</v>
      </c>
      <c r="M56" s="256">
        <v>0</v>
      </c>
      <c r="N56" s="158" t="s">
        <v>550</v>
      </c>
      <c r="P56" s="171" t="s">
        <v>3120</v>
      </c>
      <c r="Q56" s="158" t="s">
        <v>551</v>
      </c>
      <c r="R56" s="165"/>
    </row>
    <row r="59" spans="3:18">
      <c r="C59" s="158" t="s">
        <v>456</v>
      </c>
      <c r="G59" s="166">
        <v>5</v>
      </c>
      <c r="H59" s="158" t="s">
        <v>618</v>
      </c>
      <c r="J59" s="166">
        <v>5000</v>
      </c>
      <c r="K59" s="158" t="s">
        <v>619</v>
      </c>
      <c r="M59" s="166">
        <v>-5000</v>
      </c>
      <c r="N59" s="158" t="s">
        <v>620</v>
      </c>
      <c r="P59" s="171" t="s">
        <v>3121</v>
      </c>
      <c r="Q59" s="158" t="s">
        <v>621</v>
      </c>
      <c r="R59" s="165"/>
    </row>
    <row r="60" spans="3:18" s="159" customFormat="1">
      <c r="G60" s="260"/>
      <c r="H60" s="158"/>
      <c r="J60" s="260"/>
      <c r="K60" s="158"/>
      <c r="M60" s="260"/>
      <c r="N60" s="158"/>
      <c r="P60" s="258"/>
      <c r="Q60" s="158"/>
      <c r="R60" s="259"/>
    </row>
    <row r="62" spans="3:18">
      <c r="C62" s="158" t="s">
        <v>622</v>
      </c>
      <c r="G62" s="166">
        <v>5</v>
      </c>
      <c r="H62" s="158" t="s">
        <v>623</v>
      </c>
      <c r="J62" s="166">
        <v>100</v>
      </c>
      <c r="K62" s="158" t="s">
        <v>624</v>
      </c>
      <c r="M62" s="166">
        <v>0</v>
      </c>
      <c r="N62" s="158" t="s">
        <v>625</v>
      </c>
      <c r="P62" s="171" t="s">
        <v>3122</v>
      </c>
      <c r="Q62" s="158" t="s">
        <v>626</v>
      </c>
      <c r="R62" s="165"/>
    </row>
    <row r="65" spans="3:18">
      <c r="C65" s="158" t="s">
        <v>627</v>
      </c>
      <c r="G65" s="166">
        <v>5</v>
      </c>
      <c r="H65" s="158" t="s">
        <v>633</v>
      </c>
      <c r="J65" s="166">
        <v>100</v>
      </c>
      <c r="K65" s="158" t="s">
        <v>634</v>
      </c>
      <c r="M65" s="166">
        <v>0</v>
      </c>
      <c r="N65" s="158" t="s">
        <v>635</v>
      </c>
      <c r="P65" s="171" t="s">
        <v>3123</v>
      </c>
      <c r="Q65" s="158" t="s">
        <v>636</v>
      </c>
      <c r="R65" s="165"/>
    </row>
    <row r="68" spans="3:18">
      <c r="C68" s="158" t="s">
        <v>628</v>
      </c>
      <c r="G68" s="166">
        <v>5</v>
      </c>
      <c r="H68" s="158" t="s">
        <v>629</v>
      </c>
      <c r="J68" s="166">
        <v>100</v>
      </c>
      <c r="K68" s="158" t="s">
        <v>630</v>
      </c>
      <c r="M68" s="166">
        <v>0</v>
      </c>
      <c r="N68" s="158" t="s">
        <v>631</v>
      </c>
      <c r="P68" s="171" t="s">
        <v>3124</v>
      </c>
      <c r="Q68" s="158" t="s">
        <v>632</v>
      </c>
      <c r="R68" s="165"/>
    </row>
    <row r="71" spans="3:18">
      <c r="C71" s="158" t="s">
        <v>637</v>
      </c>
      <c r="G71" s="166">
        <v>5</v>
      </c>
      <c r="H71" s="158" t="s">
        <v>640</v>
      </c>
      <c r="J71" s="166">
        <v>100</v>
      </c>
      <c r="K71" s="158" t="s">
        <v>641</v>
      </c>
      <c r="M71" s="166">
        <v>0</v>
      </c>
      <c r="N71" s="158" t="s">
        <v>642</v>
      </c>
      <c r="P71" s="171" t="s">
        <v>3125</v>
      </c>
      <c r="Q71" s="158" t="s">
        <v>643</v>
      </c>
      <c r="R71" s="165"/>
    </row>
    <row r="74" spans="3:18">
      <c r="C74" s="158" t="s">
        <v>638</v>
      </c>
      <c r="G74" s="166">
        <v>5</v>
      </c>
      <c r="H74" s="158" t="s">
        <v>644</v>
      </c>
      <c r="J74" s="166">
        <v>100</v>
      </c>
      <c r="K74" s="158" t="s">
        <v>645</v>
      </c>
      <c r="M74" s="166">
        <v>0</v>
      </c>
      <c r="N74" s="158" t="s">
        <v>646</v>
      </c>
      <c r="P74" s="171" t="s">
        <v>3126</v>
      </c>
      <c r="Q74" s="158" t="s">
        <v>647</v>
      </c>
      <c r="R74" s="165"/>
    </row>
    <row r="77" spans="3:18">
      <c r="C77" s="158" t="s">
        <v>639</v>
      </c>
      <c r="G77" s="166">
        <v>5</v>
      </c>
      <c r="H77" s="158" t="s">
        <v>648</v>
      </c>
      <c r="J77" s="166">
        <v>100</v>
      </c>
      <c r="K77" s="158" t="s">
        <v>649</v>
      </c>
      <c r="M77" s="166">
        <v>0</v>
      </c>
      <c r="N77" s="158" t="s">
        <v>650</v>
      </c>
      <c r="P77" s="171" t="s">
        <v>3127</v>
      </c>
      <c r="Q77" s="158" t="s">
        <v>651</v>
      </c>
      <c r="R77" s="165"/>
    </row>
    <row r="80" spans="3:18">
      <c r="C80" s="158" t="s">
        <v>925</v>
      </c>
      <c r="G80" s="166">
        <v>1</v>
      </c>
      <c r="H80" s="158" t="s">
        <v>926</v>
      </c>
      <c r="J80" s="166">
        <v>10</v>
      </c>
      <c r="K80" s="158" t="s">
        <v>927</v>
      </c>
      <c r="M80" s="166">
        <v>-5</v>
      </c>
      <c r="N80" s="158" t="s">
        <v>928</v>
      </c>
      <c r="P80" s="171" t="s">
        <v>3128</v>
      </c>
      <c r="Q80" s="158" t="s">
        <v>929</v>
      </c>
      <c r="R80" s="165"/>
    </row>
    <row r="82" spans="1:18" s="168" customFormat="1" ht="20.100000000000001" customHeight="1">
      <c r="C82" s="169" t="s">
        <v>494</v>
      </c>
      <c r="D82" s="169"/>
      <c r="E82" s="170"/>
      <c r="F82" s="170"/>
      <c r="G82" s="169"/>
      <c r="H82" s="170"/>
      <c r="I82" s="170"/>
      <c r="J82" s="169"/>
      <c r="K82" s="170"/>
      <c r="L82" s="170"/>
      <c r="M82" s="169"/>
      <c r="N82" s="170"/>
      <c r="P82" s="169"/>
      <c r="Q82" s="170"/>
    </row>
    <row r="83" spans="1:18" s="149" customFormat="1">
      <c r="A83" s="148"/>
      <c r="C83" s="149" t="s">
        <v>356</v>
      </c>
      <c r="G83" s="148" t="s">
        <v>388</v>
      </c>
      <c r="H83" s="150"/>
      <c r="I83" s="150"/>
      <c r="J83" s="150" t="s">
        <v>389</v>
      </c>
      <c r="K83" s="150"/>
      <c r="L83" s="150"/>
      <c r="M83" s="150" t="s">
        <v>390</v>
      </c>
      <c r="N83" s="150"/>
      <c r="O83" s="150"/>
      <c r="P83" s="148" t="s">
        <v>3107</v>
      </c>
      <c r="Q83" s="150"/>
    </row>
    <row r="85" spans="1:18">
      <c r="C85" s="158" t="s">
        <v>419</v>
      </c>
      <c r="G85" s="256">
        <v>0.01</v>
      </c>
      <c r="H85" s="158" t="s">
        <v>553</v>
      </c>
      <c r="J85" s="256">
        <v>0.15</v>
      </c>
      <c r="K85" s="158" t="s">
        <v>554</v>
      </c>
      <c r="M85" s="256">
        <v>0</v>
      </c>
      <c r="N85" s="158" t="s">
        <v>555</v>
      </c>
      <c r="P85" s="171" t="s">
        <v>3129</v>
      </c>
      <c r="Q85" s="158" t="s">
        <v>556</v>
      </c>
      <c r="R85" s="165"/>
    </row>
    <row r="86" spans="1:18">
      <c r="G86" s="167"/>
      <c r="J86" s="257"/>
      <c r="M86" s="167"/>
      <c r="R86" s="165"/>
    </row>
    <row r="88" spans="1:18">
      <c r="C88" s="158" t="s">
        <v>557</v>
      </c>
      <c r="G88" s="166">
        <v>5</v>
      </c>
      <c r="H88" s="158" t="s">
        <v>558</v>
      </c>
      <c r="J88" s="166">
        <v>500</v>
      </c>
      <c r="K88" s="158" t="s">
        <v>559</v>
      </c>
      <c r="M88" s="166">
        <v>0</v>
      </c>
      <c r="N88" s="158" t="s">
        <v>560</v>
      </c>
      <c r="P88" s="171" t="s">
        <v>3130</v>
      </c>
      <c r="Q88" s="158" t="s">
        <v>561</v>
      </c>
      <c r="R88" s="165"/>
    </row>
    <row r="89" spans="1:18" s="159" customFormat="1">
      <c r="G89" s="260"/>
      <c r="J89" s="260"/>
      <c r="M89" s="260"/>
      <c r="P89" s="258"/>
      <c r="R89" s="259"/>
    </row>
    <row r="90" spans="1:18">
      <c r="G90" s="167"/>
      <c r="J90" s="167"/>
      <c r="M90" s="167"/>
    </row>
    <row r="91" spans="1:18">
      <c r="C91" s="158" t="s">
        <v>421</v>
      </c>
      <c r="G91" s="166">
        <v>5</v>
      </c>
      <c r="H91" s="158" t="s">
        <v>562</v>
      </c>
      <c r="J91" s="166">
        <v>500</v>
      </c>
      <c r="K91" s="158" t="s">
        <v>563</v>
      </c>
      <c r="M91" s="166">
        <v>0</v>
      </c>
      <c r="N91" s="158" t="s">
        <v>564</v>
      </c>
      <c r="P91" s="171" t="s">
        <v>3131</v>
      </c>
      <c r="Q91" s="158" t="s">
        <v>565</v>
      </c>
      <c r="R91" s="165"/>
    </row>
    <row r="92" spans="1:18" s="159" customFormat="1">
      <c r="G92" s="260"/>
      <c r="J92" s="260"/>
      <c r="M92" s="260"/>
      <c r="P92" s="258"/>
      <c r="R92" s="259"/>
    </row>
    <row r="93" spans="1:18">
      <c r="G93" s="167"/>
      <c r="J93" s="167"/>
      <c r="M93" s="167"/>
    </row>
    <row r="94" spans="1:18">
      <c r="C94" s="158" t="s">
        <v>1778</v>
      </c>
      <c r="G94" s="166">
        <v>5</v>
      </c>
      <c r="H94" s="158" t="s">
        <v>566</v>
      </c>
      <c r="J94" s="166">
        <v>500</v>
      </c>
      <c r="K94" s="158" t="s">
        <v>567</v>
      </c>
      <c r="M94" s="166">
        <v>0</v>
      </c>
      <c r="N94" s="158" t="s">
        <v>568</v>
      </c>
      <c r="P94" s="171" t="s">
        <v>3132</v>
      </c>
      <c r="Q94" s="158" t="s">
        <v>569</v>
      </c>
      <c r="R94" s="165"/>
    </row>
    <row r="97" spans="3:18">
      <c r="C97" s="158" t="str">
        <f>nmProd1&amp;" Marketing"</f>
        <v>Productivity &amp; Business Marketing</v>
      </c>
      <c r="G97" s="256">
        <v>0.05</v>
      </c>
      <c r="H97" s="158" t="s">
        <v>570</v>
      </c>
      <c r="J97" s="256">
        <v>1</v>
      </c>
      <c r="K97" s="158" t="s">
        <v>571</v>
      </c>
      <c r="M97" s="256">
        <v>0</v>
      </c>
      <c r="N97" s="158" t="s">
        <v>572</v>
      </c>
      <c r="P97" s="171" t="s">
        <v>3133</v>
      </c>
      <c r="Q97" s="158" t="s">
        <v>573</v>
      </c>
      <c r="R97" s="165"/>
    </row>
    <row r="98" spans="3:18" s="159" customFormat="1">
      <c r="G98" s="260"/>
      <c r="J98" s="260"/>
      <c r="M98" s="260"/>
      <c r="P98" s="258"/>
      <c r="R98" s="259"/>
    </row>
    <row r="99" spans="3:18">
      <c r="G99" s="167"/>
      <c r="J99" s="167"/>
      <c r="M99" s="167"/>
    </row>
    <row r="100" spans="3:18">
      <c r="C100" s="158" t="str">
        <f>nmProd2&amp;" Marketing"</f>
        <v>Intelligent Cloud Marketing</v>
      </c>
      <c r="G100" s="256">
        <v>0.05</v>
      </c>
      <c r="H100" s="158" t="s">
        <v>574</v>
      </c>
      <c r="J100" s="256">
        <v>1</v>
      </c>
      <c r="K100" s="158" t="s">
        <v>575</v>
      </c>
      <c r="M100" s="256">
        <v>0</v>
      </c>
      <c r="N100" s="158" t="s">
        <v>576</v>
      </c>
      <c r="P100" s="171" t="s">
        <v>3134</v>
      </c>
      <c r="Q100" s="158" t="s">
        <v>577</v>
      </c>
      <c r="R100" s="165"/>
    </row>
    <row r="101" spans="3:18" s="159" customFormat="1">
      <c r="G101" s="260"/>
      <c r="J101" s="260"/>
      <c r="M101" s="260"/>
      <c r="P101" s="258"/>
      <c r="R101" s="259"/>
    </row>
    <row r="102" spans="3:18" s="159" customFormat="1">
      <c r="G102" s="260"/>
      <c r="J102" s="260"/>
      <c r="M102" s="260"/>
      <c r="P102" s="258"/>
      <c r="R102" s="259"/>
    </row>
    <row r="103" spans="3:18">
      <c r="C103" s="158" t="str">
        <f>nmPartner1</f>
        <v>ISV</v>
      </c>
      <c r="G103" s="256">
        <v>0.01</v>
      </c>
      <c r="H103" s="158" t="s">
        <v>578</v>
      </c>
      <c r="J103" s="256">
        <v>1</v>
      </c>
      <c r="K103" s="158" t="s">
        <v>579</v>
      </c>
      <c r="M103" s="256">
        <v>0</v>
      </c>
      <c r="N103" s="158" t="s">
        <v>580</v>
      </c>
      <c r="P103" s="171" t="s">
        <v>3135</v>
      </c>
      <c r="Q103" s="158" t="s">
        <v>581</v>
      </c>
      <c r="R103" s="165"/>
    </row>
    <row r="104" spans="3:18" s="159" customFormat="1">
      <c r="G104" s="260"/>
      <c r="J104" s="260"/>
      <c r="M104" s="260"/>
      <c r="P104" s="258"/>
      <c r="R104" s="259"/>
    </row>
    <row r="105" spans="3:18">
      <c r="G105" s="167"/>
      <c r="J105" s="167"/>
      <c r="M105" s="167"/>
    </row>
    <row r="106" spans="3:18">
      <c r="C106" s="158" t="str">
        <f>nmPartner2</f>
        <v>Systems Integrators</v>
      </c>
      <c r="G106" s="256">
        <v>0.01</v>
      </c>
      <c r="H106" s="158" t="s">
        <v>540</v>
      </c>
      <c r="J106" s="256">
        <v>1</v>
      </c>
      <c r="K106" s="158" t="s">
        <v>541</v>
      </c>
      <c r="M106" s="256">
        <v>0</v>
      </c>
      <c r="N106" s="158" t="s">
        <v>542</v>
      </c>
      <c r="P106" s="171" t="s">
        <v>3136</v>
      </c>
      <c r="Q106" s="158" t="s">
        <v>543</v>
      </c>
      <c r="R106" s="165"/>
    </row>
    <row r="107" spans="3:18" s="159" customFormat="1">
      <c r="G107" s="260"/>
      <c r="J107" s="260"/>
      <c r="M107" s="260"/>
      <c r="P107" s="258"/>
      <c r="R107" s="259"/>
    </row>
    <row r="108" spans="3:18">
      <c r="G108" s="167"/>
      <c r="J108" s="167"/>
      <c r="M108" s="167"/>
    </row>
    <row r="109" spans="3:18">
      <c r="C109" s="158" t="str">
        <f>nmPartner3</f>
        <v>Managed Services</v>
      </c>
      <c r="G109" s="256">
        <v>0.01</v>
      </c>
      <c r="H109" s="158" t="s">
        <v>582</v>
      </c>
      <c r="J109" s="256">
        <v>1</v>
      </c>
      <c r="K109" s="158" t="s">
        <v>583</v>
      </c>
      <c r="M109" s="256">
        <v>0</v>
      </c>
      <c r="N109" s="158" t="s">
        <v>584</v>
      </c>
      <c r="P109" s="171" t="s">
        <v>3137</v>
      </c>
      <c r="Q109" s="158" t="s">
        <v>585</v>
      </c>
      <c r="R109" s="165"/>
    </row>
    <row r="110" spans="3:18" s="159" customFormat="1">
      <c r="G110" s="260"/>
      <c r="J110" s="260"/>
      <c r="M110" s="260"/>
      <c r="P110" s="258"/>
      <c r="R110" s="259"/>
    </row>
    <row r="111" spans="3:18">
      <c r="G111" s="167"/>
      <c r="J111" s="167"/>
      <c r="M111" s="167"/>
    </row>
    <row r="112" spans="3:18">
      <c r="C112" s="158" t="str">
        <f>nmPartner4</f>
        <v>Channels</v>
      </c>
      <c r="G112" s="256">
        <v>0.01</v>
      </c>
      <c r="H112" s="158" t="s">
        <v>586</v>
      </c>
      <c r="J112" s="256">
        <v>1</v>
      </c>
      <c r="K112" s="158" t="s">
        <v>587</v>
      </c>
      <c r="M112" s="256">
        <v>0</v>
      </c>
      <c r="N112" s="158" t="s">
        <v>588</v>
      </c>
      <c r="P112" s="171" t="s">
        <v>3138</v>
      </c>
      <c r="Q112" s="158" t="s">
        <v>589</v>
      </c>
      <c r="R112" s="165"/>
    </row>
    <row r="113" spans="1:18" s="159" customFormat="1">
      <c r="G113" s="260"/>
      <c r="J113" s="260"/>
      <c r="M113" s="260"/>
      <c r="P113" s="258"/>
      <c r="R113" s="259"/>
    </row>
    <row r="114" spans="1:18">
      <c r="G114" s="167"/>
      <c r="J114" s="167"/>
      <c r="M114" s="167"/>
    </row>
    <row r="115" spans="1:18">
      <c r="C115" s="158" t="str">
        <f>nmPartner5</f>
        <v>Retailer</v>
      </c>
      <c r="G115" s="256">
        <v>0.01</v>
      </c>
      <c r="H115" s="158" t="s">
        <v>590</v>
      </c>
      <c r="J115" s="256">
        <v>1</v>
      </c>
      <c r="K115" s="158" t="s">
        <v>591</v>
      </c>
      <c r="M115" s="256">
        <v>0</v>
      </c>
      <c r="N115" s="158" t="s">
        <v>592</v>
      </c>
      <c r="P115" s="171" t="s">
        <v>3139</v>
      </c>
      <c r="Q115" s="158" t="s">
        <v>593</v>
      </c>
      <c r="R115" s="165"/>
    </row>
    <row r="118" spans="1:18" s="168" customFormat="1" ht="20.100000000000001" customHeight="1">
      <c r="C118" s="169" t="s">
        <v>365</v>
      </c>
      <c r="D118" s="169"/>
      <c r="E118" s="170"/>
      <c r="F118" s="170"/>
      <c r="G118" s="169"/>
      <c r="H118" s="170"/>
      <c r="I118" s="170"/>
      <c r="J118" s="169"/>
      <c r="K118" s="170"/>
      <c r="L118" s="170"/>
      <c r="M118" s="169"/>
      <c r="N118" s="170"/>
      <c r="P118" s="169"/>
      <c r="Q118" s="170"/>
    </row>
    <row r="119" spans="1:18" s="149" customFormat="1">
      <c r="A119" s="148"/>
      <c r="C119" s="149" t="s">
        <v>356</v>
      </c>
      <c r="G119" s="148" t="s">
        <v>388</v>
      </c>
      <c r="H119" s="150"/>
      <c r="I119" s="150"/>
      <c r="J119" s="150" t="s">
        <v>389</v>
      </c>
      <c r="K119" s="150"/>
      <c r="L119" s="150"/>
      <c r="M119" s="150" t="s">
        <v>390</v>
      </c>
      <c r="N119" s="150"/>
      <c r="O119" s="150"/>
      <c r="P119" s="148" t="s">
        <v>3107</v>
      </c>
      <c r="Q119" s="150"/>
    </row>
    <row r="122" spans="1:18">
      <c r="C122" s="158" t="s">
        <v>557</v>
      </c>
      <c r="G122" s="166">
        <v>5</v>
      </c>
      <c r="H122" s="158" t="s">
        <v>594</v>
      </c>
      <c r="J122" s="166">
        <v>500</v>
      </c>
      <c r="K122" s="158" t="s">
        <v>595</v>
      </c>
      <c r="M122" s="166">
        <v>0</v>
      </c>
      <c r="N122" s="158" t="s">
        <v>596</v>
      </c>
      <c r="P122" s="171" t="s">
        <v>3140</v>
      </c>
      <c r="Q122" s="158" t="s">
        <v>597</v>
      </c>
      <c r="R122" s="165"/>
    </row>
    <row r="123" spans="1:18" s="159" customFormat="1">
      <c r="G123" s="260"/>
      <c r="H123" s="158"/>
      <c r="J123" s="260"/>
      <c r="K123" s="158"/>
      <c r="M123" s="260"/>
      <c r="N123" s="158"/>
      <c r="P123" s="258"/>
      <c r="Q123" s="158"/>
      <c r="R123" s="259"/>
    </row>
    <row r="124" spans="1:18">
      <c r="G124" s="167"/>
      <c r="J124" s="167"/>
      <c r="M124" s="167"/>
    </row>
    <row r="125" spans="1:18">
      <c r="C125" s="158" t="s">
        <v>421</v>
      </c>
      <c r="G125" s="166">
        <v>5</v>
      </c>
      <c r="H125" s="158" t="s">
        <v>598</v>
      </c>
      <c r="J125" s="166">
        <v>500</v>
      </c>
      <c r="K125" s="158" t="s">
        <v>599</v>
      </c>
      <c r="M125" s="166">
        <v>0</v>
      </c>
      <c r="N125" s="158" t="s">
        <v>600</v>
      </c>
      <c r="P125" s="171" t="s">
        <v>3141</v>
      </c>
      <c r="Q125" s="158" t="s">
        <v>601</v>
      </c>
      <c r="R125" s="165"/>
    </row>
    <row r="126" spans="1:18" s="159" customFormat="1">
      <c r="G126" s="260"/>
      <c r="J126" s="260"/>
      <c r="M126" s="260"/>
      <c r="P126" s="258"/>
      <c r="R126" s="259"/>
    </row>
    <row r="127" spans="1:18">
      <c r="G127" s="167"/>
      <c r="J127" s="167"/>
      <c r="M127" s="167"/>
    </row>
    <row r="128" spans="1:18">
      <c r="C128" s="158" t="s">
        <v>422</v>
      </c>
      <c r="G128" s="166">
        <v>5</v>
      </c>
      <c r="H128" s="158" t="s">
        <v>602</v>
      </c>
      <c r="J128" s="166">
        <v>500</v>
      </c>
      <c r="K128" s="158" t="s">
        <v>603</v>
      </c>
      <c r="M128" s="166">
        <v>0</v>
      </c>
      <c r="N128" s="158" t="s">
        <v>604</v>
      </c>
      <c r="P128" s="171" t="s">
        <v>3142</v>
      </c>
      <c r="Q128" s="158" t="s">
        <v>605</v>
      </c>
      <c r="R128" s="165"/>
    </row>
    <row r="129" spans="3:18">
      <c r="H129" s="159"/>
      <c r="K129" s="159"/>
      <c r="N129" s="159"/>
      <c r="Q129" s="159"/>
    </row>
    <row r="131" spans="3:18">
      <c r="C131" s="158" t="str">
        <f>nmProd1</f>
        <v>Productivity &amp; Business</v>
      </c>
      <c r="G131" s="256">
        <v>0.05</v>
      </c>
      <c r="H131" s="158" t="s">
        <v>606</v>
      </c>
      <c r="J131" s="256">
        <v>1</v>
      </c>
      <c r="K131" s="158" t="s">
        <v>607</v>
      </c>
      <c r="M131" s="256">
        <v>0</v>
      </c>
      <c r="N131" s="158" t="s">
        <v>608</v>
      </c>
      <c r="P131" s="171" t="s">
        <v>3143</v>
      </c>
      <c r="Q131" s="158" t="s">
        <v>609</v>
      </c>
      <c r="R131" s="165"/>
    </row>
    <row r="132" spans="3:18" s="159" customFormat="1">
      <c r="G132" s="260"/>
      <c r="H132" s="158"/>
      <c r="J132" s="260"/>
      <c r="K132" s="158"/>
      <c r="M132" s="260"/>
      <c r="N132" s="158"/>
      <c r="P132" s="258"/>
      <c r="Q132" s="158"/>
      <c r="R132" s="259"/>
    </row>
    <row r="133" spans="3:18" s="159" customFormat="1">
      <c r="G133" s="260"/>
      <c r="H133" s="158"/>
      <c r="J133" s="260"/>
      <c r="K133" s="158"/>
      <c r="M133" s="260"/>
      <c r="N133" s="158"/>
      <c r="P133" s="258"/>
      <c r="Q133" s="158"/>
      <c r="R133" s="259"/>
    </row>
    <row r="134" spans="3:18">
      <c r="C134" s="158" t="str">
        <f>nmPartner4</f>
        <v>Channels</v>
      </c>
      <c r="G134" s="256">
        <v>0.01</v>
      </c>
      <c r="H134" s="158" t="s">
        <v>610</v>
      </c>
      <c r="J134" s="256">
        <v>1</v>
      </c>
      <c r="K134" s="158" t="s">
        <v>611</v>
      </c>
      <c r="M134" s="256">
        <v>0</v>
      </c>
      <c r="N134" s="158" t="s">
        <v>612</v>
      </c>
      <c r="P134" s="171" t="s">
        <v>3144</v>
      </c>
      <c r="Q134" s="158" t="s">
        <v>613</v>
      </c>
      <c r="R134" s="165"/>
    </row>
    <row r="135" spans="3:18" s="159" customFormat="1">
      <c r="G135" s="260"/>
      <c r="J135" s="260"/>
      <c r="M135" s="260"/>
      <c r="P135" s="258"/>
      <c r="R135" s="259"/>
    </row>
    <row r="136" spans="3:18">
      <c r="G136" s="167"/>
      <c r="H136" s="159"/>
      <c r="J136" s="167"/>
      <c r="K136" s="159"/>
      <c r="M136" s="167"/>
      <c r="N136" s="159"/>
      <c r="Q136" s="159"/>
    </row>
    <row r="137" spans="3:18">
      <c r="C137" s="158" t="str">
        <f>nmPartner5</f>
        <v>Retailer</v>
      </c>
      <c r="G137" s="256">
        <v>0.01</v>
      </c>
      <c r="H137" s="158" t="s">
        <v>614</v>
      </c>
      <c r="J137" s="256">
        <v>1</v>
      </c>
      <c r="K137" s="158" t="s">
        <v>615</v>
      </c>
      <c r="M137" s="256">
        <v>0</v>
      </c>
      <c r="N137" s="158" t="s">
        <v>616</v>
      </c>
      <c r="P137" s="171" t="s">
        <v>3145</v>
      </c>
      <c r="Q137" s="158" t="s">
        <v>617</v>
      </c>
      <c r="R137" s="165"/>
    </row>
    <row r="138" spans="3:18">
      <c r="G138" s="167"/>
      <c r="H138" s="159"/>
      <c r="J138" s="167"/>
      <c r="K138" s="159"/>
      <c r="M138" s="167"/>
      <c r="N138" s="159"/>
      <c r="Q138" s="159"/>
    </row>
    <row r="139" spans="3:18">
      <c r="C139" s="158" t="str">
        <f>nmPartner5</f>
        <v>Retailer</v>
      </c>
      <c r="G139" s="166">
        <v>5</v>
      </c>
      <c r="H139" s="158" t="s">
        <v>3212</v>
      </c>
      <c r="J139" s="166">
        <v>100</v>
      </c>
      <c r="K139" s="158" t="s">
        <v>3213</v>
      </c>
      <c r="M139" s="166">
        <v>0</v>
      </c>
      <c r="N139" s="158" t="s">
        <v>3214</v>
      </c>
      <c r="P139" s="171" t="s">
        <v>3211</v>
      </c>
      <c r="Q139" s="158" t="s">
        <v>3215</v>
      </c>
      <c r="R139" s="165"/>
    </row>
  </sheetData>
  <hyperlinks>
    <hyperlink ref="D3" r:id="rId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sheetPr>
  <dimension ref="A1:O108"/>
  <sheetViews>
    <sheetView topLeftCell="A58" workbookViewId="0">
      <selection activeCell="L73" sqref="L73"/>
    </sheetView>
  </sheetViews>
  <sheetFormatPr defaultColWidth="12" defaultRowHeight="12.75" customHeight="1"/>
  <cols>
    <col min="1" max="1" width="1.08984375" style="158" customWidth="1"/>
    <col min="2" max="2" width="0.7265625" style="158" customWidth="1"/>
    <col min="3" max="4" width="18.453125" style="158" customWidth="1"/>
    <col min="5" max="5" width="5.1796875" style="158" customWidth="1"/>
    <col min="6" max="6" width="9.36328125" style="158" customWidth="1"/>
    <col min="7" max="7" width="15.90625" style="158" customWidth="1"/>
    <col min="8" max="8" width="2.7265625" style="158" customWidth="1"/>
    <col min="9" max="9" width="9.36328125" style="158" customWidth="1"/>
    <col min="10" max="10" width="15.90625" style="158" customWidth="1"/>
    <col min="11" max="11" width="2.7265625" style="158" customWidth="1"/>
    <col min="12" max="12" width="32.08984375" style="158" customWidth="1"/>
    <col min="13" max="13" width="15.90625" style="158" customWidth="1"/>
    <col min="14" max="16384" width="12" style="158"/>
  </cols>
  <sheetData>
    <row r="1" spans="1:13" s="142" customFormat="1" ht="13.8">
      <c r="A1" s="141" t="s">
        <v>427</v>
      </c>
    </row>
    <row r="2" spans="1:13" s="143" customFormat="1" ht="13.8">
      <c r="C2" s="144"/>
      <c r="D2" s="144"/>
      <c r="E2" s="144"/>
      <c r="F2" s="144"/>
      <c r="H2" s="144"/>
      <c r="I2" s="144"/>
      <c r="J2" s="144"/>
      <c r="K2" s="144"/>
      <c r="L2" s="144"/>
      <c r="M2" s="144"/>
    </row>
    <row r="3" spans="1:13" s="143" customFormat="1" ht="13.8">
      <c r="C3" s="143" t="s">
        <v>358</v>
      </c>
      <c r="D3" s="145" t="s">
        <v>382</v>
      </c>
      <c r="E3" s="145"/>
      <c r="F3" s="146"/>
      <c r="H3" s="146"/>
      <c r="I3" s="146"/>
      <c r="J3" s="146"/>
      <c r="K3" s="146"/>
      <c r="L3" s="146"/>
      <c r="M3" s="146"/>
    </row>
    <row r="4" spans="1:13" s="147" customFormat="1" ht="13.8"/>
    <row r="5" spans="1:13" s="149" customFormat="1" ht="13.8">
      <c r="A5" s="148"/>
      <c r="C5" s="149" t="s">
        <v>356</v>
      </c>
      <c r="F5" s="150"/>
      <c r="G5" s="150"/>
      <c r="H5" s="150"/>
      <c r="I5" s="150"/>
      <c r="J5" s="150"/>
      <c r="K5" s="150"/>
      <c r="L5" s="150"/>
      <c r="M5" s="150"/>
    </row>
    <row r="6" spans="1:13" s="147" customFormat="1" ht="13.8"/>
    <row r="7" spans="1:13" s="147" customFormat="1" ht="13.8">
      <c r="C7" s="151" t="s">
        <v>383</v>
      </c>
      <c r="D7" s="151"/>
      <c r="E7" s="151"/>
      <c r="J7" s="152" t="s">
        <v>384</v>
      </c>
    </row>
    <row r="8" spans="1:13" s="147" customFormat="1" ht="13.8">
      <c r="C8" s="153"/>
      <c r="D8" s="154" t="s">
        <v>385</v>
      </c>
      <c r="J8" s="155"/>
      <c r="K8" s="154" t="s">
        <v>386</v>
      </c>
    </row>
    <row r="9" spans="1:13" s="147" customFormat="1" ht="13.8">
      <c r="C9" s="156"/>
      <c r="D9" s="154" t="s">
        <v>354</v>
      </c>
    </row>
    <row r="10" spans="1:13" s="147" customFormat="1" ht="13.8">
      <c r="C10" s="157"/>
      <c r="D10" s="154" t="s">
        <v>387</v>
      </c>
    </row>
    <row r="11" spans="1:13" s="147" customFormat="1" ht="13.8"/>
    <row r="12" spans="1:13" s="149" customFormat="1" ht="13.8">
      <c r="A12" s="148"/>
      <c r="C12" s="149" t="s">
        <v>428</v>
      </c>
      <c r="F12" s="150"/>
      <c r="G12" s="150"/>
      <c r="H12" s="150"/>
      <c r="I12" s="150"/>
      <c r="J12" s="150"/>
      <c r="K12" s="150"/>
      <c r="L12" s="150"/>
      <c r="M12" s="150"/>
    </row>
    <row r="13" spans="1:13" ht="13.8">
      <c r="B13" s="159"/>
      <c r="E13" s="160"/>
      <c r="F13" s="161"/>
      <c r="G13" s="161"/>
      <c r="H13" s="161"/>
      <c r="I13" s="161"/>
      <c r="J13" s="161"/>
      <c r="K13" s="161"/>
      <c r="L13" s="161"/>
      <c r="M13" s="161"/>
    </row>
    <row r="14" spans="1:13" ht="13.8">
      <c r="B14" s="159"/>
      <c r="C14" s="158" t="s">
        <v>429</v>
      </c>
      <c r="D14" s="262"/>
      <c r="E14" s="216" t="s">
        <v>3051</v>
      </c>
      <c r="F14" s="161"/>
      <c r="G14" s="161"/>
      <c r="H14" s="161"/>
      <c r="I14" s="161"/>
      <c r="J14" s="161"/>
      <c r="K14" s="161"/>
      <c r="L14" s="161"/>
      <c r="M14" s="161"/>
    </row>
    <row r="15" spans="1:13" ht="13.8">
      <c r="B15" s="159"/>
      <c r="E15" s="160"/>
      <c r="F15" s="161"/>
      <c r="G15" s="161"/>
      <c r="H15" s="161"/>
      <c r="I15" s="161"/>
      <c r="J15" s="161"/>
      <c r="K15" s="161"/>
      <c r="L15" s="161"/>
      <c r="M15" s="161"/>
    </row>
    <row r="16" spans="1:13" ht="13.8">
      <c r="B16" s="159"/>
      <c r="C16" s="158" t="s">
        <v>429</v>
      </c>
      <c r="D16" s="263"/>
      <c r="E16" s="216" t="s">
        <v>3052</v>
      </c>
      <c r="F16" s="161"/>
      <c r="G16" s="161"/>
      <c r="H16" s="161"/>
      <c r="I16" s="161"/>
      <c r="J16" s="161"/>
      <c r="K16" s="161"/>
      <c r="L16" s="161"/>
      <c r="M16" s="161"/>
    </row>
    <row r="17" spans="1:14" ht="13.8">
      <c r="B17" s="159"/>
      <c r="E17" s="160"/>
      <c r="F17" s="161"/>
      <c r="G17" s="161"/>
      <c r="H17" s="161"/>
      <c r="I17" s="161"/>
      <c r="J17" s="161"/>
      <c r="K17" s="161"/>
      <c r="L17" s="161"/>
      <c r="M17" s="161"/>
    </row>
    <row r="18" spans="1:14" ht="13.8">
      <c r="B18" s="159"/>
      <c r="C18" s="158" t="s">
        <v>429</v>
      </c>
      <c r="D18" s="898"/>
      <c r="E18" s="216" t="s">
        <v>3053</v>
      </c>
      <c r="F18" s="161"/>
      <c r="G18" s="161"/>
      <c r="H18" s="161"/>
      <c r="I18" s="161"/>
      <c r="J18" s="161"/>
      <c r="K18" s="161"/>
      <c r="L18" s="161"/>
      <c r="M18" s="161"/>
    </row>
    <row r="19" spans="1:14" ht="13.8">
      <c r="B19" s="159"/>
      <c r="E19" s="160"/>
      <c r="F19" s="161"/>
      <c r="G19" s="161"/>
      <c r="H19" s="161"/>
      <c r="I19" s="161"/>
      <c r="J19" s="161"/>
      <c r="K19" s="161"/>
      <c r="L19" s="161"/>
      <c r="M19" s="161"/>
    </row>
    <row r="20" spans="1:14" ht="13.8">
      <c r="B20" s="159"/>
      <c r="C20" s="158" t="s">
        <v>429</v>
      </c>
      <c r="D20" s="898"/>
      <c r="E20" s="216" t="s">
        <v>3054</v>
      </c>
      <c r="F20" s="161"/>
      <c r="G20" s="161"/>
      <c r="H20" s="161"/>
      <c r="I20" s="161"/>
      <c r="J20" s="161"/>
      <c r="K20" s="161"/>
      <c r="L20" s="161"/>
      <c r="M20" s="161"/>
    </row>
    <row r="21" spans="1:14" ht="13.8">
      <c r="B21" s="159"/>
      <c r="E21" s="216"/>
      <c r="F21" s="161"/>
      <c r="G21" s="161"/>
      <c r="H21" s="161"/>
      <c r="I21" s="161"/>
      <c r="J21" s="161"/>
      <c r="K21" s="161"/>
      <c r="L21" s="161"/>
      <c r="M21" s="161"/>
    </row>
    <row r="22" spans="1:14" ht="13.8">
      <c r="B22" s="159"/>
      <c r="C22" s="158" t="s">
        <v>430</v>
      </c>
      <c r="D22" s="888"/>
      <c r="E22" s="216" t="s">
        <v>431</v>
      </c>
      <c r="F22" s="161"/>
      <c r="G22" s="161"/>
      <c r="H22" s="161"/>
      <c r="I22" s="161"/>
      <c r="J22" s="161"/>
      <c r="K22" s="161"/>
      <c r="L22" s="161"/>
      <c r="M22" s="161"/>
    </row>
    <row r="23" spans="1:14" ht="13.8">
      <c r="B23" s="159"/>
      <c r="E23" s="216"/>
      <c r="F23" s="161"/>
      <c r="G23" s="161"/>
      <c r="H23" s="161"/>
      <c r="I23" s="161"/>
      <c r="J23" s="161"/>
      <c r="K23" s="161"/>
      <c r="L23" s="161"/>
      <c r="M23" s="161"/>
    </row>
    <row r="24" spans="1:14" ht="13.8">
      <c r="B24" s="159"/>
      <c r="C24" s="158" t="s">
        <v>717</v>
      </c>
      <c r="D24" s="261"/>
      <c r="E24" s="216" t="s">
        <v>652</v>
      </c>
      <c r="F24" s="161"/>
      <c r="G24" s="161"/>
      <c r="H24" s="161"/>
      <c r="I24" s="161"/>
      <c r="J24" s="161"/>
      <c r="K24" s="161"/>
      <c r="L24" s="161"/>
      <c r="M24" s="161"/>
    </row>
    <row r="25" spans="1:14" ht="13.8">
      <c r="B25" s="159"/>
      <c r="E25" s="216"/>
      <c r="F25" s="161"/>
      <c r="G25" s="161"/>
      <c r="H25" s="161"/>
      <c r="I25" s="161"/>
      <c r="J25" s="161"/>
      <c r="K25" s="161"/>
      <c r="L25" s="161"/>
      <c r="M25" s="161"/>
    </row>
    <row r="26" spans="1:14" ht="13.8">
      <c r="B26" s="159"/>
      <c r="C26" s="158" t="s">
        <v>718</v>
      </c>
      <c r="D26" s="889"/>
      <c r="E26" s="216" t="s">
        <v>719</v>
      </c>
      <c r="F26" s="161"/>
      <c r="G26" s="161"/>
      <c r="H26" s="161"/>
      <c r="I26" s="161"/>
      <c r="J26" s="161"/>
      <c r="K26" s="161"/>
      <c r="L26" s="161"/>
      <c r="M26" s="161"/>
    </row>
    <row r="27" spans="1:14" ht="13.8">
      <c r="B27" s="159"/>
      <c r="E27" s="216"/>
      <c r="F27" s="161"/>
      <c r="G27" s="161"/>
      <c r="H27" s="161"/>
      <c r="I27" s="161"/>
      <c r="J27" s="161"/>
      <c r="K27" s="161"/>
      <c r="L27" s="161"/>
      <c r="M27" s="161"/>
    </row>
    <row r="28" spans="1:14" ht="13.8">
      <c r="B28" s="159"/>
      <c r="C28" s="158" t="s">
        <v>718</v>
      </c>
      <c r="D28" s="261"/>
      <c r="E28" s="216" t="s">
        <v>721</v>
      </c>
      <c r="F28" s="161"/>
      <c r="G28" s="161"/>
      <c r="H28" s="161"/>
      <c r="I28" s="161"/>
      <c r="J28" s="161"/>
      <c r="K28" s="161"/>
      <c r="L28" s="161"/>
      <c r="M28" s="161"/>
    </row>
    <row r="29" spans="1:14" ht="13.8">
      <c r="B29" s="159"/>
      <c r="E29" s="160"/>
      <c r="F29" s="161"/>
      <c r="G29" s="161"/>
      <c r="H29" s="161"/>
      <c r="I29" s="161"/>
      <c r="J29" s="161"/>
      <c r="K29" s="161"/>
      <c r="L29" s="161"/>
      <c r="M29" s="161"/>
    </row>
    <row r="30" spans="1:14" s="149" customFormat="1" ht="20.100000000000001" customHeight="1">
      <c r="C30" s="162" t="s">
        <v>112</v>
      </c>
      <c r="D30" s="162"/>
      <c r="E30" s="163"/>
      <c r="F30" s="162" t="s">
        <v>113</v>
      </c>
      <c r="G30" s="163"/>
      <c r="H30" s="163"/>
      <c r="I30" s="162"/>
      <c r="J30" s="163"/>
      <c r="K30" s="163"/>
      <c r="L30" s="162"/>
      <c r="M30" s="163"/>
    </row>
    <row r="31" spans="1:14" s="147" customFormat="1" ht="13.8"/>
    <row r="32" spans="1:14" s="149" customFormat="1" ht="13.8">
      <c r="A32" s="148"/>
      <c r="D32" s="149" t="s">
        <v>432</v>
      </c>
      <c r="F32" s="148" t="s">
        <v>433</v>
      </c>
      <c r="G32" s="150"/>
      <c r="I32" s="148" t="s">
        <v>434</v>
      </c>
      <c r="J32" s="150"/>
      <c r="K32" s="150"/>
      <c r="L32" s="148" t="s">
        <v>3055</v>
      </c>
      <c r="M32" s="150"/>
      <c r="N32" s="149" t="s">
        <v>3056</v>
      </c>
    </row>
    <row r="33" spans="3:15" ht="13.8"/>
    <row r="34" spans="3:15" ht="13.8">
      <c r="C34" s="158" t="s">
        <v>495</v>
      </c>
      <c r="F34" s="217">
        <v>5</v>
      </c>
      <c r="G34" s="158" t="s">
        <v>2983</v>
      </c>
      <c r="I34" s="217" t="s">
        <v>427</v>
      </c>
      <c r="J34" s="158" t="s">
        <v>2984</v>
      </c>
      <c r="L34" s="217" t="s">
        <v>3057</v>
      </c>
      <c r="M34" s="158" t="s">
        <v>2985</v>
      </c>
      <c r="N34" s="217">
        <v>0.5</v>
      </c>
      <c r="O34" s="158" t="s">
        <v>3057</v>
      </c>
    </row>
    <row r="35" spans="3:15" ht="13.8"/>
    <row r="36" spans="3:15" ht="13.8">
      <c r="C36" s="158" t="s">
        <v>495</v>
      </c>
      <c r="F36" s="217">
        <v>5</v>
      </c>
      <c r="G36" s="158" t="s">
        <v>435</v>
      </c>
      <c r="I36" s="217" t="s">
        <v>3058</v>
      </c>
      <c r="J36" s="158" t="s">
        <v>436</v>
      </c>
      <c r="L36" s="217" t="s">
        <v>3059</v>
      </c>
      <c r="M36" s="158" t="s">
        <v>437</v>
      </c>
      <c r="N36" s="217">
        <v>0</v>
      </c>
      <c r="O36" s="158" t="s">
        <v>3059</v>
      </c>
    </row>
    <row r="37" spans="3:15" ht="13.8"/>
    <row r="38" spans="3:15" ht="13.8">
      <c r="C38" s="158" t="s">
        <v>426</v>
      </c>
      <c r="F38" s="217">
        <v>5</v>
      </c>
      <c r="G38" s="158" t="s">
        <v>438</v>
      </c>
      <c r="I38" s="217" t="s">
        <v>3058</v>
      </c>
      <c r="J38" s="158" t="s">
        <v>439</v>
      </c>
      <c r="L38" s="217" t="s">
        <v>3060</v>
      </c>
      <c r="M38" s="158" t="s">
        <v>440</v>
      </c>
      <c r="N38" s="217">
        <v>0</v>
      </c>
      <c r="O38" s="158" t="s">
        <v>3060</v>
      </c>
    </row>
    <row r="39" spans="3:15" ht="13.8"/>
    <row r="40" spans="3:15" ht="13.8">
      <c r="C40" s="158" t="s">
        <v>425</v>
      </c>
      <c r="F40" s="217">
        <v>5</v>
      </c>
      <c r="G40" s="158" t="s">
        <v>441</v>
      </c>
      <c r="I40" s="217" t="s">
        <v>3058</v>
      </c>
      <c r="J40" s="158" t="s">
        <v>442</v>
      </c>
      <c r="L40" s="217" t="s">
        <v>3061</v>
      </c>
      <c r="M40" s="158" t="s">
        <v>443</v>
      </c>
      <c r="N40" s="217">
        <v>0</v>
      </c>
      <c r="O40" s="158" t="s">
        <v>3061</v>
      </c>
    </row>
    <row r="41" spans="3:15" ht="13.8"/>
    <row r="42" spans="3:15" ht="13.8">
      <c r="C42" s="158" t="s">
        <v>450</v>
      </c>
      <c r="F42" s="217">
        <v>5</v>
      </c>
      <c r="G42" s="158" t="s">
        <v>653</v>
      </c>
      <c r="I42" s="217" t="s">
        <v>3062</v>
      </c>
      <c r="J42" s="158" t="s">
        <v>654</v>
      </c>
      <c r="L42" s="217" t="s">
        <v>3063</v>
      </c>
      <c r="M42" s="158" t="s">
        <v>655</v>
      </c>
      <c r="N42" s="217">
        <v>0</v>
      </c>
      <c r="O42" s="158" t="s">
        <v>3063</v>
      </c>
    </row>
    <row r="43" spans="3:15" ht="13.8"/>
    <row r="44" spans="3:15" ht="13.8">
      <c r="C44" s="158" t="s">
        <v>451</v>
      </c>
      <c r="F44" s="217">
        <v>5</v>
      </c>
      <c r="G44" s="158" t="s">
        <v>656</v>
      </c>
      <c r="I44" s="217" t="s">
        <v>3062</v>
      </c>
      <c r="J44" s="158" t="s">
        <v>657</v>
      </c>
      <c r="L44" s="217" t="s">
        <v>3064</v>
      </c>
      <c r="M44" s="158" t="s">
        <v>658</v>
      </c>
      <c r="N44" s="217">
        <v>0</v>
      </c>
      <c r="O44" s="158" t="s">
        <v>3064</v>
      </c>
    </row>
    <row r="45" spans="3:15" ht="13.8"/>
    <row r="46" spans="3:15" ht="13.8">
      <c r="C46" s="158" t="s">
        <v>453</v>
      </c>
      <c r="F46" s="217">
        <v>5</v>
      </c>
      <c r="G46" s="158" t="s">
        <v>659</v>
      </c>
      <c r="I46" s="217" t="s">
        <v>3062</v>
      </c>
      <c r="J46" s="158" t="s">
        <v>660</v>
      </c>
      <c r="L46" s="217" t="s">
        <v>3065</v>
      </c>
      <c r="M46" s="158" t="s">
        <v>661</v>
      </c>
      <c r="N46" s="217">
        <v>0</v>
      </c>
      <c r="O46" s="158" t="s">
        <v>3065</v>
      </c>
    </row>
    <row r="47" spans="3:15" ht="13.8"/>
    <row r="48" spans="3:15" ht="13.8">
      <c r="C48" s="158" t="s">
        <v>452</v>
      </c>
      <c r="F48" s="217">
        <v>5</v>
      </c>
      <c r="G48" s="158" t="s">
        <v>662</v>
      </c>
      <c r="I48" s="217" t="s">
        <v>3062</v>
      </c>
      <c r="J48" s="158" t="s">
        <v>663</v>
      </c>
      <c r="L48" s="217" t="s">
        <v>3066</v>
      </c>
      <c r="M48" s="158" t="s">
        <v>664</v>
      </c>
      <c r="N48" s="217">
        <v>5</v>
      </c>
      <c r="O48" s="158" t="s">
        <v>3066</v>
      </c>
    </row>
    <row r="49" spans="3:15" ht="13.8"/>
    <row r="50" spans="3:15" ht="13.8">
      <c r="C50" s="158" t="str">
        <f>nmProd1Offering1</f>
        <v>Workspace 365</v>
      </c>
      <c r="F50" s="217">
        <v>5</v>
      </c>
      <c r="G50" s="158" t="s">
        <v>665</v>
      </c>
      <c r="I50" s="217" t="s">
        <v>3062</v>
      </c>
      <c r="J50" s="158" t="s">
        <v>666</v>
      </c>
      <c r="L50" s="217" t="s">
        <v>3067</v>
      </c>
      <c r="M50" s="158" t="s">
        <v>667</v>
      </c>
      <c r="N50" s="217">
        <v>0</v>
      </c>
      <c r="O50" s="158" t="s">
        <v>3067</v>
      </c>
    </row>
    <row r="51" spans="3:15" ht="13.8"/>
    <row r="52" spans="3:15" ht="13.8">
      <c r="C52" s="158" t="str">
        <f>nmProd1Offering2</f>
        <v>Dynamo 365</v>
      </c>
      <c r="F52" s="217">
        <v>5</v>
      </c>
      <c r="G52" s="158" t="s">
        <v>668</v>
      </c>
      <c r="I52" s="217" t="s">
        <v>3062</v>
      </c>
      <c r="J52" s="158" t="s">
        <v>669</v>
      </c>
      <c r="L52" s="217" t="s">
        <v>3068</v>
      </c>
      <c r="M52" s="158" t="s">
        <v>670</v>
      </c>
      <c r="N52" s="217">
        <v>0</v>
      </c>
      <c r="O52" s="158" t="s">
        <v>3068</v>
      </c>
    </row>
    <row r="53" spans="3:15" ht="13.8"/>
    <row r="54" spans="3:15" ht="13.8">
      <c r="C54" s="158" t="str">
        <f>nmProd2Offering1</f>
        <v>Azul Infrastructure</v>
      </c>
      <c r="F54" s="217">
        <v>5</v>
      </c>
      <c r="G54" s="158" t="s">
        <v>671</v>
      </c>
      <c r="I54" s="217" t="s">
        <v>3062</v>
      </c>
      <c r="J54" s="158" t="s">
        <v>672</v>
      </c>
      <c r="L54" s="217" t="s">
        <v>3069</v>
      </c>
      <c r="M54" s="158" t="s">
        <v>673</v>
      </c>
      <c r="N54" s="217">
        <v>0</v>
      </c>
      <c r="O54" s="158" t="s">
        <v>3069</v>
      </c>
    </row>
    <row r="55" spans="3:15" ht="13.8"/>
    <row r="56" spans="3:15" ht="13.8">
      <c r="C56" s="158" t="str">
        <f>nmProd2Offering2</f>
        <v>Azul Data, Applications, and AI</v>
      </c>
      <c r="F56" s="217">
        <v>5</v>
      </c>
      <c r="G56" s="158" t="s">
        <v>674</v>
      </c>
      <c r="I56" s="217" t="s">
        <v>3062</v>
      </c>
      <c r="J56" s="158" t="s">
        <v>675</v>
      </c>
      <c r="L56" s="217" t="s">
        <v>3070</v>
      </c>
      <c r="M56" s="158" t="s">
        <v>676</v>
      </c>
      <c r="N56" s="217">
        <v>0</v>
      </c>
      <c r="O56" s="158" t="s">
        <v>3070</v>
      </c>
    </row>
    <row r="57" spans="3:15" ht="13.8"/>
    <row r="58" spans="3:15" ht="13.8">
      <c r="C58" s="158" t="str">
        <f>nmProd2Offering3</f>
        <v>Azul Applications</v>
      </c>
      <c r="F58" s="217">
        <v>5</v>
      </c>
      <c r="G58" s="158" t="s">
        <v>677</v>
      </c>
      <c r="I58" s="217" t="s">
        <v>3062</v>
      </c>
      <c r="J58" s="158" t="s">
        <v>678</v>
      </c>
      <c r="L58" s="217" t="s">
        <v>3071</v>
      </c>
      <c r="M58" s="158" t="s">
        <v>679</v>
      </c>
      <c r="N58" s="217">
        <v>5</v>
      </c>
      <c r="O58" s="158" t="s">
        <v>3071</v>
      </c>
    </row>
    <row r="59" spans="3:15" ht="13.8"/>
    <row r="60" spans="3:15" ht="13.8">
      <c r="C60" s="158" t="str">
        <f>nmProd3Offering1</f>
        <v>Doors OS</v>
      </c>
      <c r="F60" s="217">
        <v>5</v>
      </c>
      <c r="G60" s="158" t="s">
        <v>680</v>
      </c>
      <c r="I60" s="217" t="s">
        <v>3062</v>
      </c>
      <c r="J60" s="158" t="s">
        <v>681</v>
      </c>
      <c r="L60" s="217" t="s">
        <v>3072</v>
      </c>
      <c r="M60" s="158" t="s">
        <v>682</v>
      </c>
      <c r="N60" s="217">
        <v>0</v>
      </c>
      <c r="O60" s="158" t="s">
        <v>3072</v>
      </c>
    </row>
    <row r="61" spans="3:15" ht="13.8"/>
    <row r="62" spans="3:15" ht="13.8">
      <c r="C62" s="158" t="str">
        <f>nmProd3Offering2</f>
        <v>Devices</v>
      </c>
      <c r="F62" s="217">
        <v>5</v>
      </c>
      <c r="G62" s="158" t="s">
        <v>683</v>
      </c>
      <c r="I62" s="217" t="s">
        <v>3062</v>
      </c>
      <c r="J62" s="158" t="s">
        <v>684</v>
      </c>
      <c r="L62" s="217" t="s">
        <v>3073</v>
      </c>
      <c r="M62" s="158" t="s">
        <v>685</v>
      </c>
      <c r="N62" s="217">
        <v>0</v>
      </c>
      <c r="O62" s="158" t="s">
        <v>3073</v>
      </c>
    </row>
    <row r="63" spans="3:15" ht="13.8"/>
    <row r="64" spans="3:15" ht="13.8">
      <c r="C64" s="158" t="str">
        <f>nmProd3Offering3</f>
        <v>Ping</v>
      </c>
      <c r="F64" s="217">
        <v>5</v>
      </c>
      <c r="G64" s="158" t="s">
        <v>686</v>
      </c>
      <c r="I64" s="217" t="s">
        <v>3062</v>
      </c>
      <c r="J64" s="158" t="s">
        <v>687</v>
      </c>
      <c r="L64" s="217" t="s">
        <v>3074</v>
      </c>
      <c r="M64" s="158" t="s">
        <v>688</v>
      </c>
      <c r="N64" s="217">
        <v>5</v>
      </c>
      <c r="O64" s="158" t="s">
        <v>3074</v>
      </c>
    </row>
    <row r="65" spans="3:15" ht="13.8"/>
    <row r="66" spans="3:15" ht="13.8">
      <c r="C66" s="158" t="str">
        <f>nmSkill1</f>
        <v>Technical Expertise</v>
      </c>
      <c r="F66" s="217">
        <v>5</v>
      </c>
      <c r="G66" s="158" t="s">
        <v>689</v>
      </c>
      <c r="I66" s="217" t="s">
        <v>3058</v>
      </c>
      <c r="J66" s="158" t="s">
        <v>690</v>
      </c>
      <c r="L66" s="217" t="s">
        <v>3075</v>
      </c>
      <c r="M66" s="158" t="s">
        <v>691</v>
      </c>
      <c r="N66" s="217">
        <v>0</v>
      </c>
      <c r="O66" s="158" t="s">
        <v>3075</v>
      </c>
    </row>
    <row r="67" spans="3:15" ht="13.8"/>
    <row r="68" spans="3:15" ht="13.8">
      <c r="C68" s="158" t="str">
        <f>nmSkill2</f>
        <v>Consultative Skills</v>
      </c>
      <c r="F68" s="217">
        <v>5</v>
      </c>
      <c r="G68" s="158" t="s">
        <v>692</v>
      </c>
      <c r="I68" s="217" t="s">
        <v>3058</v>
      </c>
      <c r="J68" s="158" t="s">
        <v>693</v>
      </c>
      <c r="L68" s="217" t="s">
        <v>3076</v>
      </c>
      <c r="M68" s="158" t="s">
        <v>694</v>
      </c>
      <c r="N68" s="217">
        <v>0</v>
      </c>
      <c r="O68" s="158" t="s">
        <v>3076</v>
      </c>
    </row>
    <row r="69" spans="3:15" ht="13.8"/>
    <row r="70" spans="3:15" ht="13.8">
      <c r="C70" s="158" t="str">
        <f>nmSkill3</f>
        <v>Industry Expertise</v>
      </c>
      <c r="F70" s="217">
        <v>5</v>
      </c>
      <c r="G70" s="158" t="s">
        <v>695</v>
      </c>
      <c r="I70" s="217" t="s">
        <v>3058</v>
      </c>
      <c r="J70" s="158" t="s">
        <v>696</v>
      </c>
      <c r="L70" s="217" t="s">
        <v>3077</v>
      </c>
      <c r="M70" s="158" t="s">
        <v>697</v>
      </c>
      <c r="N70" s="217">
        <v>0</v>
      </c>
      <c r="O70" s="158" t="s">
        <v>3077</v>
      </c>
    </row>
    <row r="71" spans="3:15" ht="13.8"/>
    <row r="72" spans="3:15" ht="13.8">
      <c r="F72" s="217"/>
      <c r="G72" s="158" t="s">
        <v>698</v>
      </c>
      <c r="I72" s="217"/>
      <c r="J72" s="158" t="s">
        <v>699</v>
      </c>
      <c r="L72" s="217"/>
      <c r="M72" s="158" t="s">
        <v>700</v>
      </c>
      <c r="N72" s="217"/>
    </row>
    <row r="73" spans="3:15" ht="13.8"/>
    <row r="74" spans="3:15" ht="13.8">
      <c r="C74" s="158" t="str">
        <f>"Commerical "&amp;nmProd1&amp;" Pricing"</f>
        <v>Commerical Productivity &amp; Business Pricing</v>
      </c>
      <c r="F74" s="217">
        <v>4</v>
      </c>
      <c r="G74" s="158" t="s">
        <v>702</v>
      </c>
      <c r="I74" s="217" t="s">
        <v>3058</v>
      </c>
      <c r="J74" s="158" t="s">
        <v>703</v>
      </c>
      <c r="L74" s="217" t="s">
        <v>3338</v>
      </c>
      <c r="M74" s="158" t="s">
        <v>704</v>
      </c>
      <c r="N74" s="217">
        <v>2</v>
      </c>
      <c r="O74" s="158" t="s">
        <v>3078</v>
      </c>
    </row>
    <row r="75" spans="3:15" ht="13.8"/>
    <row r="76" spans="3:15" ht="13.8">
      <c r="C76" s="158" t="str">
        <f>"Commerical "&amp;nmProd2&amp;" Pricing"</f>
        <v>Commerical Intelligent Cloud Pricing</v>
      </c>
      <c r="F76" s="217">
        <v>4</v>
      </c>
      <c r="G76" s="158" t="s">
        <v>705</v>
      </c>
      <c r="I76" s="217" t="s">
        <v>3058</v>
      </c>
      <c r="J76" s="158" t="s">
        <v>706</v>
      </c>
      <c r="L76" s="217" t="s">
        <v>3339</v>
      </c>
      <c r="M76" s="158" t="s">
        <v>707</v>
      </c>
      <c r="N76" s="217">
        <v>2</v>
      </c>
      <c r="O76" s="158" t="s">
        <v>3079</v>
      </c>
    </row>
    <row r="77" spans="3:15" ht="13.8"/>
    <row r="78" spans="3:15" ht="13.8">
      <c r="C78" s="158" t="str">
        <f>"Commerical "&amp;nmProd3&amp;" Pricing"</f>
        <v>Commerical Personal Computing Pricing</v>
      </c>
      <c r="F78" s="217">
        <v>4</v>
      </c>
      <c r="G78" s="158" t="s">
        <v>711</v>
      </c>
      <c r="I78" s="217" t="s">
        <v>3058</v>
      </c>
      <c r="J78" s="158" t="s">
        <v>712</v>
      </c>
      <c r="L78" s="217" t="s">
        <v>3340</v>
      </c>
      <c r="M78" s="158" t="s">
        <v>713</v>
      </c>
      <c r="N78" s="217">
        <v>2</v>
      </c>
      <c r="O78" s="158" t="s">
        <v>3080</v>
      </c>
    </row>
    <row r="79" spans="3:15" ht="13.8"/>
    <row r="80" spans="3:15" ht="13.8">
      <c r="C80" s="158" t="str">
        <f>nmSkill1</f>
        <v>Technical Expertise</v>
      </c>
      <c r="F80" s="217">
        <v>4</v>
      </c>
      <c r="G80" s="158" t="s">
        <v>708</v>
      </c>
      <c r="I80" s="217" t="s">
        <v>3081</v>
      </c>
      <c r="J80" s="158" t="s">
        <v>709</v>
      </c>
      <c r="L80" s="217" t="s">
        <v>3082</v>
      </c>
      <c r="M80" s="158" t="s">
        <v>710</v>
      </c>
      <c r="N80" s="217">
        <v>2</v>
      </c>
      <c r="O80" s="158" t="s">
        <v>3082</v>
      </c>
    </row>
    <row r="81" spans="3:15" ht="13.8"/>
    <row r="82" spans="3:15" ht="13.8">
      <c r="C82" s="158" t="str">
        <f>nmSkill2</f>
        <v>Consultative Skills</v>
      </c>
      <c r="F82" s="217">
        <v>4</v>
      </c>
      <c r="G82" s="158" t="s">
        <v>714</v>
      </c>
      <c r="I82" s="217" t="s">
        <v>3081</v>
      </c>
      <c r="J82" s="158" t="s">
        <v>715</v>
      </c>
      <c r="L82" s="217" t="s">
        <v>3083</v>
      </c>
      <c r="M82" s="158" t="s">
        <v>716</v>
      </c>
      <c r="N82" s="217">
        <v>2</v>
      </c>
      <c r="O82" s="158" t="s">
        <v>3083</v>
      </c>
    </row>
    <row r="83" spans="3:15" ht="13.8"/>
    <row r="84" spans="3:15" ht="13.8">
      <c r="C84" s="158" t="s">
        <v>495</v>
      </c>
      <c r="F84" s="217">
        <v>5</v>
      </c>
      <c r="G84" s="158" t="s">
        <v>1089</v>
      </c>
      <c r="I84" s="217" t="s">
        <v>3081</v>
      </c>
      <c r="J84" s="158" t="s">
        <v>1090</v>
      </c>
      <c r="L84" s="217" t="s">
        <v>3084</v>
      </c>
      <c r="M84" s="158" t="s">
        <v>1091</v>
      </c>
      <c r="N84" s="217">
        <v>0</v>
      </c>
      <c r="O84" s="158" t="s">
        <v>3084</v>
      </c>
    </row>
    <row r="85" spans="3:15" ht="13.8"/>
    <row r="86" spans="3:15" ht="13.8">
      <c r="C86" s="158" t="s">
        <v>426</v>
      </c>
      <c r="F86" s="217">
        <v>5</v>
      </c>
      <c r="G86" s="158" t="s">
        <v>1092</v>
      </c>
      <c r="I86" s="217" t="s">
        <v>3081</v>
      </c>
      <c r="J86" s="158" t="s">
        <v>1093</v>
      </c>
      <c r="L86" s="217" t="s">
        <v>3085</v>
      </c>
      <c r="M86" s="158" t="s">
        <v>1094</v>
      </c>
      <c r="N86" s="217">
        <v>0</v>
      </c>
      <c r="O86" s="158" t="s">
        <v>3085</v>
      </c>
    </row>
    <row r="87" spans="3:15" ht="13.8"/>
    <row r="88" spans="3:15" ht="13.8">
      <c r="C88" s="158" t="s">
        <v>425</v>
      </c>
      <c r="F88" s="217">
        <v>5</v>
      </c>
      <c r="G88" s="158" t="s">
        <v>1095</v>
      </c>
      <c r="I88" s="217" t="s">
        <v>3081</v>
      </c>
      <c r="J88" s="158" t="s">
        <v>1096</v>
      </c>
      <c r="L88" s="217" t="s">
        <v>3086</v>
      </c>
      <c r="M88" s="158" t="s">
        <v>1097</v>
      </c>
      <c r="N88" s="217">
        <v>0</v>
      </c>
      <c r="O88" s="158" t="s">
        <v>3086</v>
      </c>
    </row>
    <row r="89" spans="3:15" ht="13.8"/>
    <row r="90" spans="3:15" ht="13.8">
      <c r="C90" s="158" t="str">
        <f>nmSkill1</f>
        <v>Technical Expertise</v>
      </c>
      <c r="F90" s="217">
        <v>5</v>
      </c>
      <c r="G90" s="158" t="s">
        <v>2598</v>
      </c>
      <c r="I90" s="217" t="s">
        <v>3081</v>
      </c>
      <c r="J90" s="158" t="s">
        <v>2596</v>
      </c>
      <c r="L90" s="217" t="s">
        <v>3087</v>
      </c>
      <c r="M90" s="158" t="s">
        <v>2594</v>
      </c>
      <c r="N90" s="217">
        <v>0</v>
      </c>
      <c r="O90" s="158" t="s">
        <v>3087</v>
      </c>
    </row>
    <row r="91" spans="3:15" ht="13.8"/>
    <row r="92" spans="3:15" ht="13.8">
      <c r="C92" s="158" t="str">
        <f>nmSkill2</f>
        <v>Consultative Skills</v>
      </c>
      <c r="F92" s="217">
        <v>5</v>
      </c>
      <c r="G92" s="158" t="s">
        <v>2599</v>
      </c>
      <c r="I92" s="217" t="s">
        <v>3081</v>
      </c>
      <c r="J92" s="158" t="s">
        <v>2597</v>
      </c>
      <c r="L92" s="217" t="s">
        <v>3088</v>
      </c>
      <c r="M92" s="158" t="s">
        <v>2595</v>
      </c>
      <c r="N92" s="217">
        <v>0</v>
      </c>
      <c r="O92" s="158" t="s">
        <v>3088</v>
      </c>
    </row>
    <row r="93" spans="3:15" ht="13.8"/>
    <row r="94" spans="3:15" s="149" customFormat="1" ht="20.100000000000001" customHeight="1">
      <c r="C94" s="162" t="s">
        <v>119</v>
      </c>
      <c r="D94" s="162"/>
      <c r="E94" s="163"/>
      <c r="F94" s="162"/>
      <c r="G94" s="163"/>
      <c r="H94" s="163"/>
      <c r="I94" s="162"/>
      <c r="J94" s="163"/>
      <c r="K94" s="163"/>
      <c r="L94" s="162"/>
      <c r="M94" s="163"/>
    </row>
    <row r="95" spans="3:15" ht="13.8"/>
    <row r="96" spans="3:15" ht="13.8">
      <c r="C96" s="158" t="s">
        <v>444</v>
      </c>
    </row>
    <row r="97" spans="3:13" ht="13.8">
      <c r="C97" s="218">
        <f>COUNTIF(F35:F93,"&gt;0")</f>
        <v>28</v>
      </c>
      <c r="D97" s="158" t="s">
        <v>445</v>
      </c>
    </row>
    <row r="99" spans="3:13" s="149" customFormat="1" ht="20.100000000000001" customHeight="1">
      <c r="C99" s="162" t="s">
        <v>701</v>
      </c>
      <c r="D99" s="162"/>
      <c r="E99" s="163"/>
      <c r="F99" s="162"/>
      <c r="G99" s="163"/>
      <c r="H99" s="163"/>
      <c r="I99" s="162"/>
      <c r="J99" s="163"/>
      <c r="K99" s="163"/>
      <c r="L99" s="162"/>
      <c r="M99" s="163"/>
    </row>
    <row r="101" spans="3:13" ht="12.75" customHeight="1">
      <c r="C101" s="158" t="str">
        <f>"Commerical "&amp;nmProd1&amp;" Pricing"</f>
        <v>Commerical Productivity &amp; Business Pricing</v>
      </c>
    </row>
    <row r="103" spans="3:13" ht="12.75" customHeight="1">
      <c r="D103" s="195"/>
      <c r="E103" s="195"/>
      <c r="F103" s="195"/>
      <c r="G103" s="195"/>
    </row>
    <row r="104" spans="3:13" ht="12.75" customHeight="1">
      <c r="D104" s="198" t="str">
        <f>nmProd2Offering3</f>
        <v>Azul Applications</v>
      </c>
      <c r="E104" s="195"/>
      <c r="F104" s="195"/>
      <c r="G104" s="195"/>
    </row>
    <row r="105" spans="3:13" ht="12.75" customHeight="1">
      <c r="D105" s="195"/>
      <c r="E105" s="195"/>
      <c r="F105" s="195"/>
      <c r="G105" s="195"/>
    </row>
    <row r="106" spans="3:13" ht="12.75" customHeight="1">
      <c r="D106" s="195"/>
      <c r="E106" s="195"/>
      <c r="F106" s="213" t="e">
        <f>"Total Investment: "&amp;INDEX(cbalEGProd2Offering3,xxIndexTeam)</f>
        <v>#NAME?</v>
      </c>
      <c r="G106" s="195"/>
    </row>
    <row r="107" spans="3:13" ht="12.75" customHeight="1">
      <c r="D107" s="195"/>
      <c r="E107" s="195"/>
      <c r="F107" s="213" t="e">
        <f>"ETUs Required: "&amp;INDEX(calcEGProd2Offering3ETUs,xxIndexTeam)</f>
        <v>#NAME?</v>
      </c>
      <c r="G107" s="195"/>
    </row>
    <row r="108" spans="3:13" ht="12.75" customHeight="1">
      <c r="D108" s="195"/>
      <c r="E108" s="195"/>
      <c r="F108" s="195"/>
      <c r="G108" s="195"/>
    </row>
  </sheetData>
  <dataValidations disablePrompts="1" count="1">
    <dataValidation type="list" allowBlank="1" showInputMessage="1" showErrorMessage="1" sqref="F36 F38 F40 F42 F44 F46 F48 F50 F52 F54 F56 F58 F60 F62 F64 F66 F68 F70 F74 F76 F78 F80 F72 F82 F84 F86 F88 F90 F92 F34">
      <formula1>"1,2,3,4,5,6,7,8,9"</formula1>
    </dataValidation>
  </dataValidations>
  <hyperlinks>
    <hyperlink ref="D3" r:id="rId1"/>
  </hyperlinks>
  <pageMargins left="0.7" right="0.7" top="0.75" bottom="0.75" header="0.3" footer="0.3"/>
  <pageSetup orientation="portrait" r:id="rId2"/>
  <rowBreaks count="1" manualBreakCount="1">
    <brk id="73" max="16383" man="1"/>
  </rowBreaks>
  <colBreaks count="1" manualBreakCount="1">
    <brk id="9" max="1048575" man="1"/>
  </colBreak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FFFF00"/>
  </sheetPr>
  <dimension ref="A1:N80"/>
  <sheetViews>
    <sheetView topLeftCell="A67" workbookViewId="0">
      <selection activeCell="G68" sqref="G68"/>
    </sheetView>
  </sheetViews>
  <sheetFormatPr defaultColWidth="13.1796875" defaultRowHeight="16.8"/>
  <cols>
    <col min="1" max="1" width="1.1796875" style="1115" customWidth="1"/>
    <col min="2" max="2" width="0.81640625" style="1115" customWidth="1"/>
    <col min="3" max="3" width="20.36328125" style="1115" customWidth="1"/>
    <col min="4" max="4" width="55.453125" style="1115" customWidth="1"/>
    <col min="5" max="15" width="20.36328125" style="1115" customWidth="1"/>
    <col min="16" max="16384" width="13.1796875" style="1115"/>
  </cols>
  <sheetData>
    <row r="1" spans="1:14" s="1146" customFormat="1" ht="13.8">
      <c r="A1" s="1147" t="s">
        <v>2937</v>
      </c>
    </row>
    <row r="2" spans="1:14" s="1144" customFormat="1" ht="13.8">
      <c r="C2" s="1145"/>
      <c r="D2" s="1145"/>
      <c r="E2" s="1145"/>
      <c r="F2" s="1145"/>
      <c r="G2" s="1145"/>
      <c r="I2" s="1145"/>
      <c r="J2" s="1145"/>
      <c r="K2" s="1145"/>
      <c r="L2" s="1145"/>
      <c r="M2" s="1145"/>
      <c r="N2" s="1145"/>
    </row>
    <row r="3" spans="1:14" s="1144" customFormat="1" ht="13.8">
      <c r="C3" s="1144" t="s">
        <v>358</v>
      </c>
      <c r="D3" s="145" t="s">
        <v>382</v>
      </c>
      <c r="F3" s="145"/>
      <c r="G3" s="146"/>
      <c r="I3" s="146"/>
      <c r="J3" s="146"/>
      <c r="K3" s="146"/>
      <c r="L3" s="146"/>
      <c r="M3" s="146"/>
      <c r="N3" s="146"/>
    </row>
    <row r="4" spans="1:14" s="1135" customFormat="1" ht="13.8"/>
    <row r="5" spans="1:14" s="1119" customFormat="1" ht="13.8">
      <c r="A5" s="1134"/>
      <c r="C5" s="1119" t="s">
        <v>356</v>
      </c>
      <c r="G5" s="1133"/>
      <c r="H5" s="1133"/>
      <c r="I5" s="1133"/>
      <c r="J5" s="1133"/>
      <c r="K5" s="1133"/>
      <c r="L5" s="1133"/>
      <c r="M5" s="1133"/>
      <c r="N5" s="1133"/>
    </row>
    <row r="6" spans="1:14" s="1135" customFormat="1" ht="13.8"/>
    <row r="7" spans="1:14" s="1135" customFormat="1" ht="13.8">
      <c r="C7" s="1143" t="s">
        <v>383</v>
      </c>
      <c r="D7" s="1143"/>
      <c r="E7" s="1142" t="s">
        <v>384</v>
      </c>
    </row>
    <row r="8" spans="1:14" s="1135" customFormat="1" ht="13.8">
      <c r="C8" s="1141"/>
      <c r="D8" s="1137" t="s">
        <v>385</v>
      </c>
      <c r="E8" s="1140"/>
      <c r="F8" s="1137" t="s">
        <v>386</v>
      </c>
    </row>
    <row r="9" spans="1:14" s="1135" customFormat="1" ht="13.8">
      <c r="C9" s="1139"/>
      <c r="D9" s="1137" t="s">
        <v>354</v>
      </c>
    </row>
    <row r="10" spans="1:14" s="1135" customFormat="1" ht="13.8">
      <c r="C10" s="1138"/>
      <c r="D10" s="1137" t="s">
        <v>387</v>
      </c>
    </row>
    <row r="11" spans="1:14" s="1122" customFormat="1" ht="13.8">
      <c r="B11" s="1125"/>
      <c r="E11" s="1124"/>
      <c r="F11" s="1124"/>
      <c r="G11" s="1123"/>
      <c r="H11" s="1123"/>
      <c r="I11" s="1123"/>
      <c r="J11" s="1123"/>
      <c r="K11" s="1123"/>
      <c r="L11" s="1123"/>
      <c r="M11" s="1123"/>
      <c r="N11" s="1123"/>
    </row>
    <row r="12" spans="1:14" s="1119" customFormat="1" ht="20.100000000000001" customHeight="1">
      <c r="C12" s="1121" t="s">
        <v>113</v>
      </c>
      <c r="D12" s="1121"/>
      <c r="E12" s="1120"/>
      <c r="F12" s="1121" t="s">
        <v>112</v>
      </c>
      <c r="G12" s="1121"/>
      <c r="H12" s="1120"/>
      <c r="I12" s="1120"/>
      <c r="J12" s="1121"/>
      <c r="K12" s="1120"/>
      <c r="L12" s="1120"/>
      <c r="M12" s="1121"/>
      <c r="N12" s="1120"/>
    </row>
    <row r="13" spans="1:14" s="1135" customFormat="1" ht="13.8"/>
    <row r="14" spans="1:14" s="1119" customFormat="1" ht="13.8">
      <c r="A14" s="1134"/>
      <c r="C14" s="1119" t="s">
        <v>2954</v>
      </c>
      <c r="G14" s="1133"/>
      <c r="H14" s="1133"/>
      <c r="I14" s="1133"/>
      <c r="J14" s="1133"/>
      <c r="K14" s="1133"/>
      <c r="L14" s="1133"/>
      <c r="M14" s="1133"/>
      <c r="N14" s="1133"/>
    </row>
    <row r="15" spans="1:14" s="1135" customFormat="1" ht="13.8"/>
    <row r="16" spans="1:14" s="1135" customFormat="1" ht="13.8">
      <c r="C16" s="1135" t="s">
        <v>2953</v>
      </c>
      <c r="D16" s="1136"/>
      <c r="E16" s="1135" t="s">
        <v>2952</v>
      </c>
    </row>
    <row r="17" spans="1:14" s="1135" customFormat="1" ht="13.8"/>
    <row r="18" spans="1:14" s="1135" customFormat="1" ht="13.8"/>
    <row r="19" spans="1:14" s="1135" customFormat="1" ht="13.8"/>
    <row r="20" spans="1:14" s="1135" customFormat="1" ht="13.8"/>
    <row r="21" spans="1:14" s="1119" customFormat="1" ht="13.8">
      <c r="A21" s="1134"/>
      <c r="C21" s="1119" t="s">
        <v>2951</v>
      </c>
      <c r="G21" s="1133"/>
      <c r="H21" s="1133"/>
      <c r="I21" s="1133"/>
      <c r="J21" s="1133"/>
      <c r="K21" s="1133"/>
      <c r="L21" s="1133"/>
      <c r="M21" s="1133"/>
      <c r="N21" s="1133"/>
    </row>
    <row r="23" spans="1:14">
      <c r="C23" s="1131" t="s">
        <v>2950</v>
      </c>
      <c r="D23" s="1127" t="s">
        <v>2949</v>
      </c>
      <c r="E23" s="1129" t="s">
        <v>2948</v>
      </c>
    </row>
    <row r="24" spans="1:14">
      <c r="D24" s="1116" t="s">
        <v>2947</v>
      </c>
    </row>
    <row r="25" spans="1:14">
      <c r="C25" s="1131" t="s">
        <v>2946</v>
      </c>
    </row>
    <row r="26" spans="1:14">
      <c r="C26" s="1132" t="s">
        <v>2945</v>
      </c>
      <c r="D26" s="1127" t="s">
        <v>2944</v>
      </c>
      <c r="E26" s="1132" t="s">
        <v>2943</v>
      </c>
    </row>
    <row r="27" spans="1:14">
      <c r="C27" s="1132" t="s">
        <v>2942</v>
      </c>
      <c r="D27" s="1127" t="s">
        <v>2941</v>
      </c>
      <c r="E27" s="1132" t="s">
        <v>2940</v>
      </c>
    </row>
    <row r="29" spans="1:14" ht="27.6">
      <c r="C29" s="1131" t="s">
        <v>2939</v>
      </c>
      <c r="D29" s="1130" t="s">
        <v>2728</v>
      </c>
      <c r="E29" s="1130" t="s">
        <v>434</v>
      </c>
      <c r="F29" s="1129" t="s">
        <v>2938</v>
      </c>
    </row>
    <row r="30" spans="1:14" ht="99.9" customHeight="1">
      <c r="C30" s="1128">
        <v>1</v>
      </c>
      <c r="D30" s="1149" t="s">
        <v>3284</v>
      </c>
      <c r="E30" s="1148" t="s">
        <v>2955</v>
      </c>
      <c r="F30" s="1126"/>
    </row>
    <row r="31" spans="1:14" ht="99.9" customHeight="1">
      <c r="C31" s="1128">
        <f t="shared" ref="C31:C69" si="0">C30+1</f>
        <v>2</v>
      </c>
      <c r="D31" s="1149" t="s">
        <v>3285</v>
      </c>
      <c r="E31" s="1148" t="s">
        <v>2955</v>
      </c>
      <c r="F31" s="1126"/>
    </row>
    <row r="32" spans="1:14" ht="99.9" customHeight="1">
      <c r="C32" s="1128">
        <f t="shared" si="0"/>
        <v>3</v>
      </c>
      <c r="D32" s="1149" t="s">
        <v>3286</v>
      </c>
      <c r="E32" s="1148" t="s">
        <v>2955</v>
      </c>
      <c r="F32" s="1126"/>
    </row>
    <row r="33" spans="3:6" ht="99.9" customHeight="1">
      <c r="C33" s="1128">
        <f t="shared" si="0"/>
        <v>4</v>
      </c>
      <c r="D33" s="1149" t="s">
        <v>3287</v>
      </c>
      <c r="E33" s="1148" t="s">
        <v>2955</v>
      </c>
      <c r="F33" s="1126"/>
    </row>
    <row r="34" spans="3:6" ht="99.9" customHeight="1">
      <c r="C34" s="1128">
        <f t="shared" si="0"/>
        <v>5</v>
      </c>
      <c r="D34" s="1149" t="s">
        <v>3288</v>
      </c>
      <c r="E34" s="1148" t="s">
        <v>2955</v>
      </c>
      <c r="F34" s="1126"/>
    </row>
    <row r="35" spans="3:6" ht="99.9" customHeight="1">
      <c r="C35" s="1128">
        <f t="shared" si="0"/>
        <v>6</v>
      </c>
      <c r="D35" s="1149" t="s">
        <v>3289</v>
      </c>
      <c r="E35" s="1148" t="s">
        <v>2955</v>
      </c>
      <c r="F35" s="1126"/>
    </row>
    <row r="36" spans="3:6" ht="99.9" customHeight="1">
      <c r="C36" s="1128">
        <f t="shared" si="0"/>
        <v>7</v>
      </c>
      <c r="D36" s="1149" t="s">
        <v>3290</v>
      </c>
      <c r="E36" s="1148" t="s">
        <v>2955</v>
      </c>
      <c r="F36" s="1126"/>
    </row>
    <row r="37" spans="3:6" ht="99.9" customHeight="1">
      <c r="C37" s="1128">
        <f t="shared" si="0"/>
        <v>8</v>
      </c>
      <c r="D37" s="1149" t="s">
        <v>3291</v>
      </c>
      <c r="E37" s="1148" t="s">
        <v>2955</v>
      </c>
      <c r="F37" s="1126"/>
    </row>
    <row r="38" spans="3:6" ht="99.9" customHeight="1">
      <c r="C38" s="1128">
        <f t="shared" si="0"/>
        <v>9</v>
      </c>
      <c r="D38" s="1149" t="s">
        <v>3292</v>
      </c>
      <c r="E38" s="1148" t="s">
        <v>2955</v>
      </c>
      <c r="F38" s="1126"/>
    </row>
    <row r="39" spans="3:6" ht="99.9" customHeight="1">
      <c r="C39" s="1128">
        <f t="shared" si="0"/>
        <v>10</v>
      </c>
      <c r="D39" s="1149" t="s">
        <v>3293</v>
      </c>
      <c r="E39" s="1148" t="s">
        <v>469</v>
      </c>
      <c r="F39" s="1126"/>
    </row>
    <row r="40" spans="3:6" ht="99.9" customHeight="1">
      <c r="C40" s="1128">
        <f t="shared" si="0"/>
        <v>11</v>
      </c>
      <c r="D40" s="1149" t="s">
        <v>3294</v>
      </c>
      <c r="E40" s="1148" t="s">
        <v>469</v>
      </c>
      <c r="F40" s="1126"/>
    </row>
    <row r="41" spans="3:6" ht="99.9" customHeight="1">
      <c r="C41" s="1128">
        <f t="shared" si="0"/>
        <v>12</v>
      </c>
      <c r="D41" s="1149" t="s">
        <v>3295</v>
      </c>
      <c r="E41" s="1148" t="s">
        <v>469</v>
      </c>
      <c r="F41" s="1126"/>
    </row>
    <row r="42" spans="3:6" ht="99.9" customHeight="1">
      <c r="C42" s="1128">
        <f t="shared" si="0"/>
        <v>13</v>
      </c>
      <c r="D42" s="1149" t="s">
        <v>3296</v>
      </c>
      <c r="E42" s="1148" t="s">
        <v>469</v>
      </c>
      <c r="F42" s="1126"/>
    </row>
    <row r="43" spans="3:6" ht="99.9" customHeight="1">
      <c r="C43" s="1128">
        <f t="shared" si="0"/>
        <v>14</v>
      </c>
      <c r="D43" s="1149" t="s">
        <v>3297</v>
      </c>
      <c r="E43" s="1148" t="s">
        <v>469</v>
      </c>
      <c r="F43" s="1126"/>
    </row>
    <row r="44" spans="3:6" ht="99.9" customHeight="1">
      <c r="C44" s="1128">
        <f t="shared" si="0"/>
        <v>15</v>
      </c>
      <c r="D44" s="1149" t="s">
        <v>3298</v>
      </c>
      <c r="E44" s="1148" t="s">
        <v>469</v>
      </c>
      <c r="F44" s="1126"/>
    </row>
    <row r="45" spans="3:6" ht="99.9" customHeight="1">
      <c r="C45" s="1128">
        <f t="shared" si="0"/>
        <v>16</v>
      </c>
      <c r="D45" s="1149" t="s">
        <v>3299</v>
      </c>
      <c r="E45" s="1148" t="s">
        <v>469</v>
      </c>
      <c r="F45" s="1126"/>
    </row>
    <row r="46" spans="3:6" ht="99.9" customHeight="1">
      <c r="C46" s="1128">
        <f t="shared" si="0"/>
        <v>17</v>
      </c>
      <c r="D46" s="1149" t="s">
        <v>3300</v>
      </c>
      <c r="E46" s="1148" t="s">
        <v>1088</v>
      </c>
      <c r="F46" s="1126"/>
    </row>
    <row r="47" spans="3:6" ht="99.9" customHeight="1">
      <c r="C47" s="1128">
        <f t="shared" si="0"/>
        <v>18</v>
      </c>
      <c r="D47" s="1149" t="s">
        <v>3301</v>
      </c>
      <c r="E47" s="1148" t="s">
        <v>1088</v>
      </c>
      <c r="F47" s="1126"/>
    </row>
    <row r="48" spans="3:6" ht="99.9" customHeight="1">
      <c r="C48" s="1128">
        <f t="shared" si="0"/>
        <v>19</v>
      </c>
      <c r="D48" s="1149" t="s">
        <v>3302</v>
      </c>
      <c r="E48" s="1148" t="s">
        <v>1088</v>
      </c>
      <c r="F48" s="1126"/>
    </row>
    <row r="49" spans="3:7" ht="99.9" customHeight="1">
      <c r="C49" s="1128">
        <f t="shared" si="0"/>
        <v>20</v>
      </c>
      <c r="D49" s="1149" t="s">
        <v>3303</v>
      </c>
      <c r="E49" s="1148" t="s">
        <v>1088</v>
      </c>
      <c r="F49" s="1126"/>
    </row>
    <row r="50" spans="3:7" ht="99.9" customHeight="1">
      <c r="C50" s="1128">
        <f t="shared" si="0"/>
        <v>21</v>
      </c>
      <c r="D50" s="1149" t="s">
        <v>3304</v>
      </c>
      <c r="E50" s="1148" t="s">
        <v>1088</v>
      </c>
      <c r="F50" s="1126"/>
    </row>
    <row r="51" spans="3:7" ht="99.9" customHeight="1">
      <c r="C51" s="1128">
        <f t="shared" si="0"/>
        <v>22</v>
      </c>
      <c r="D51" s="1149" t="s">
        <v>3305</v>
      </c>
      <c r="E51" s="1148" t="s">
        <v>1088</v>
      </c>
      <c r="F51" s="1126"/>
    </row>
    <row r="52" spans="3:7" ht="99.9" customHeight="1">
      <c r="C52" s="1128">
        <f t="shared" si="0"/>
        <v>23</v>
      </c>
      <c r="D52" s="1149" t="s">
        <v>3315</v>
      </c>
      <c r="E52" s="1148" t="s">
        <v>1088</v>
      </c>
      <c r="F52" s="1126"/>
    </row>
    <row r="53" spans="3:7" ht="99.9" customHeight="1">
      <c r="C53" s="1128">
        <f t="shared" si="0"/>
        <v>24</v>
      </c>
      <c r="D53" s="1149" t="s">
        <v>3306</v>
      </c>
      <c r="E53" s="1148" t="s">
        <v>1088</v>
      </c>
      <c r="F53" s="1126"/>
    </row>
    <row r="54" spans="3:7" ht="99.9" customHeight="1">
      <c r="C54" s="1128">
        <f t="shared" si="0"/>
        <v>25</v>
      </c>
      <c r="D54" s="1149" t="s">
        <v>3307</v>
      </c>
      <c r="E54" s="1148" t="s">
        <v>1088</v>
      </c>
      <c r="F54" s="1126"/>
    </row>
    <row r="55" spans="3:7" ht="99.9" customHeight="1">
      <c r="C55" s="1128">
        <f t="shared" si="0"/>
        <v>26</v>
      </c>
      <c r="D55" s="1149" t="s">
        <v>3308</v>
      </c>
      <c r="E55" s="1148" t="s">
        <v>1088</v>
      </c>
      <c r="F55" s="1126"/>
    </row>
    <row r="56" spans="3:7" ht="99.9" customHeight="1">
      <c r="C56" s="1128">
        <f t="shared" si="0"/>
        <v>27</v>
      </c>
      <c r="D56" s="1149" t="s">
        <v>3309</v>
      </c>
      <c r="E56" s="1148" t="s">
        <v>1088</v>
      </c>
      <c r="F56" s="1126"/>
    </row>
    <row r="57" spans="3:7" ht="99.9" customHeight="1">
      <c r="C57" s="1128">
        <f t="shared" si="0"/>
        <v>28</v>
      </c>
      <c r="D57" s="1149" t="s">
        <v>3310</v>
      </c>
      <c r="E57" s="1148" t="s">
        <v>1088</v>
      </c>
      <c r="F57" s="1126"/>
      <c r="G57" s="1115" t="str">
        <f>nmPartner5</f>
        <v>Retailer</v>
      </c>
    </row>
    <row r="58" spans="3:7" ht="99.9" customHeight="1">
      <c r="C58" s="1128">
        <f t="shared" si="0"/>
        <v>29</v>
      </c>
      <c r="D58" s="1149" t="s">
        <v>3300</v>
      </c>
      <c r="E58" s="1148" t="s">
        <v>1087</v>
      </c>
      <c r="F58" s="1126"/>
    </row>
    <row r="59" spans="3:7" ht="99.9" customHeight="1">
      <c r="C59" s="1128">
        <f t="shared" si="0"/>
        <v>30</v>
      </c>
      <c r="D59" s="1149" t="s">
        <v>3301</v>
      </c>
      <c r="E59" s="1148" t="s">
        <v>1087</v>
      </c>
      <c r="F59" s="1126"/>
    </row>
    <row r="60" spans="3:7" ht="99.9" customHeight="1">
      <c r="C60" s="1128">
        <f t="shared" si="0"/>
        <v>31</v>
      </c>
      <c r="D60" s="1149" t="s">
        <v>3302</v>
      </c>
      <c r="E60" s="1148" t="s">
        <v>1087</v>
      </c>
      <c r="F60" s="1126"/>
    </row>
    <row r="61" spans="3:7" ht="99.9" customHeight="1">
      <c r="C61" s="1128">
        <f>C60+1</f>
        <v>32</v>
      </c>
      <c r="D61" s="1149" t="s">
        <v>3303</v>
      </c>
      <c r="E61" s="1148" t="s">
        <v>1087</v>
      </c>
      <c r="F61" s="1126"/>
    </row>
    <row r="62" spans="3:7" ht="99.9" customHeight="1">
      <c r="C62" s="1128">
        <f t="shared" si="0"/>
        <v>33</v>
      </c>
      <c r="D62" s="1149" t="s">
        <v>3311</v>
      </c>
      <c r="E62" s="1148" t="s">
        <v>1087</v>
      </c>
      <c r="F62" s="1126"/>
    </row>
    <row r="63" spans="3:7" ht="99.9" customHeight="1">
      <c r="C63" s="1128">
        <f t="shared" si="0"/>
        <v>34</v>
      </c>
      <c r="D63" s="1149" t="s">
        <v>3316</v>
      </c>
      <c r="E63" s="1148" t="s">
        <v>1087</v>
      </c>
      <c r="F63" s="1126"/>
    </row>
    <row r="64" spans="3:7" ht="99.9" customHeight="1">
      <c r="C64" s="1128">
        <f t="shared" si="0"/>
        <v>35</v>
      </c>
      <c r="D64" s="1149" t="s">
        <v>3312</v>
      </c>
      <c r="E64" s="1148" t="s">
        <v>1087</v>
      </c>
      <c r="F64" s="1126"/>
    </row>
    <row r="65" spans="2:14" ht="99.9" customHeight="1">
      <c r="C65" s="1128">
        <f t="shared" si="0"/>
        <v>36</v>
      </c>
      <c r="D65" s="1149" t="s">
        <v>3307</v>
      </c>
      <c r="E65" s="1148" t="s">
        <v>1087</v>
      </c>
      <c r="F65" s="1126"/>
    </row>
    <row r="66" spans="2:14" ht="99.9" customHeight="1">
      <c r="C66" s="1128">
        <f t="shared" si="0"/>
        <v>37</v>
      </c>
      <c r="D66" s="1149" t="s">
        <v>3308</v>
      </c>
      <c r="E66" s="1148" t="s">
        <v>1087</v>
      </c>
      <c r="F66" s="1126"/>
    </row>
    <row r="67" spans="2:14" ht="99.9" customHeight="1">
      <c r="C67" s="1128">
        <f t="shared" si="0"/>
        <v>38</v>
      </c>
      <c r="D67" s="1149" t="s">
        <v>3309</v>
      </c>
      <c r="E67" s="1148" t="s">
        <v>1087</v>
      </c>
      <c r="F67" s="1126"/>
    </row>
    <row r="68" spans="2:14" ht="99.9" customHeight="1">
      <c r="C68" s="1128">
        <f t="shared" si="0"/>
        <v>39</v>
      </c>
      <c r="D68" s="1149" t="s">
        <v>3313</v>
      </c>
      <c r="E68" s="1148" t="s">
        <v>1087</v>
      </c>
      <c r="F68" s="1126"/>
    </row>
    <row r="69" spans="2:14" ht="99.9" customHeight="1">
      <c r="C69" s="1128">
        <f t="shared" si="0"/>
        <v>40</v>
      </c>
      <c r="D69" s="1149" t="s">
        <v>3314</v>
      </c>
      <c r="E69" s="1148" t="s">
        <v>469</v>
      </c>
      <c r="F69" s="1126"/>
    </row>
    <row r="70" spans="2:14" ht="20.25" customHeight="1">
      <c r="C70" s="1116" t="s">
        <v>2936</v>
      </c>
      <c r="D70" s="1116" t="s">
        <v>2935</v>
      </c>
      <c r="E70" s="1116" t="s">
        <v>2934</v>
      </c>
    </row>
    <row r="71" spans="2:14" s="1122" customFormat="1" ht="13.8">
      <c r="B71" s="1125"/>
      <c r="E71" s="1124"/>
      <c r="F71" s="1124"/>
      <c r="G71" s="1123"/>
      <c r="H71" s="1123"/>
      <c r="I71" s="1123"/>
      <c r="J71" s="1123"/>
      <c r="K71" s="1123"/>
      <c r="L71" s="1123"/>
      <c r="M71" s="1123"/>
      <c r="N71" s="1123"/>
    </row>
    <row r="72" spans="2:14" s="1119" customFormat="1" ht="20.100000000000001" customHeight="1">
      <c r="C72" s="1121" t="s">
        <v>119</v>
      </c>
      <c r="D72" s="1121"/>
      <c r="E72" s="1120"/>
      <c r="F72" s="1121"/>
      <c r="G72" s="1121"/>
      <c r="H72" s="1120"/>
      <c r="I72" s="1120"/>
      <c r="J72" s="1121"/>
      <c r="K72" s="1120"/>
      <c r="L72" s="1120"/>
      <c r="M72" s="1121"/>
      <c r="N72" s="1120"/>
    </row>
    <row r="74" spans="2:14">
      <c r="C74" s="1118" t="s">
        <v>2933</v>
      </c>
    </row>
    <row r="75" spans="2:14">
      <c r="C75" s="1115" t="s">
        <v>2932</v>
      </c>
      <c r="D75" s="1117">
        <v>1</v>
      </c>
    </row>
    <row r="76" spans="2:14">
      <c r="D76" s="1116" t="s">
        <v>2931</v>
      </c>
    </row>
    <row r="78" spans="2:14">
      <c r="C78" s="1118" t="s">
        <v>2930</v>
      </c>
    </row>
    <row r="79" spans="2:14">
      <c r="C79" s="1115" t="s">
        <v>2929</v>
      </c>
      <c r="D79" s="1117" t="str">
        <f>IF(InfoButtonStatus=1,InfoButtonToggleHide,InfoButtonToggleShow)</f>
        <v>Hide Info</v>
      </c>
    </row>
    <row r="80" spans="2:14">
      <c r="D80" s="1116" t="s">
        <v>2928</v>
      </c>
    </row>
  </sheetData>
  <dataValidations disablePrompts="1" count="1">
    <dataValidation type="list" allowBlank="1" showInputMessage="1" showErrorMessage="1" sqref="D75">
      <formula1>"0,1"</formula1>
    </dataValidation>
  </dataValidations>
  <hyperlinks>
    <hyperlink ref="D3" r:id="rId1"/>
  </hyperlinks>
  <pageMargins left="0.7" right="0.7" top="0.75" bottom="0.75" header="0.3" footer="0.3"/>
  <pageSetup orientation="portrait" horizontalDpi="4294967292"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F35"/>
  <sheetViews>
    <sheetView workbookViewId="0">
      <selection activeCell="E22" sqref="E22"/>
    </sheetView>
  </sheetViews>
  <sheetFormatPr defaultRowHeight="13.8"/>
  <cols>
    <col min="1" max="3" width="4.7265625" customWidth="1"/>
    <col min="5" max="6" width="24.7265625" customWidth="1"/>
  </cols>
  <sheetData>
    <row r="1" spans="1:6" s="11" customFormat="1">
      <c r="A1" s="11" t="s">
        <v>98</v>
      </c>
    </row>
    <row r="3" spans="1:6">
      <c r="A3" t="s">
        <v>181</v>
      </c>
    </row>
    <row r="4" spans="1:6">
      <c r="B4" t="s">
        <v>227</v>
      </c>
    </row>
    <row r="5" spans="1:6">
      <c r="B5" t="s">
        <v>228</v>
      </c>
    </row>
    <row r="6" spans="1:6">
      <c r="B6" t="s">
        <v>229</v>
      </c>
    </row>
    <row r="7" spans="1:6">
      <c r="B7" t="s">
        <v>230</v>
      </c>
    </row>
    <row r="10" spans="1:6" s="41" customFormat="1">
      <c r="A10" s="41" t="s">
        <v>112</v>
      </c>
    </row>
    <row r="12" spans="1:6">
      <c r="D12" s="14" t="str">
        <f>F17&amp;F18&amp;F19&amp;F20&amp;F21&amp;F22&amp;F23&amp;F24&amp;F25&amp;F26</f>
        <v/>
      </c>
      <c r="E12" t="s">
        <v>5</v>
      </c>
    </row>
    <row r="14" spans="1:6" s="41" customFormat="1">
      <c r="A14" s="41" t="s">
        <v>113</v>
      </c>
    </row>
    <row r="16" spans="1:6">
      <c r="D16" t="s">
        <v>99</v>
      </c>
      <c r="E16" t="s">
        <v>226</v>
      </c>
      <c r="F16" t="s">
        <v>100</v>
      </c>
    </row>
    <row r="17" spans="1:6">
      <c r="C17">
        <v>1</v>
      </c>
      <c r="D17" s="119" t="b">
        <f>INDEX(calcFTEsRemaining,xxIndexTeam)&lt;0</f>
        <v>0</v>
      </c>
      <c r="E17" s="88" t="s">
        <v>2980</v>
      </c>
      <c r="F17" s="13" t="str">
        <f>IF(D17,E17 &amp; dec_LineBreak,"")</f>
        <v/>
      </c>
    </row>
    <row r="18" spans="1:6">
      <c r="C18">
        <v>2</v>
      </c>
      <c r="D18" s="119" t="b">
        <f>INDEX(calcDataCenterUtilization,xxIndexTeam)&gt;1</f>
        <v>0</v>
      </c>
      <c r="E18" s="88" t="s">
        <v>2981</v>
      </c>
      <c r="F18" s="13" t="str">
        <f>IF(D18,E18 &amp; dec_LineBreak,"")</f>
        <v/>
      </c>
    </row>
    <row r="19" spans="1:6">
      <c r="C19">
        <v>3</v>
      </c>
      <c r="D19" s="119" t="b">
        <f>tlInputConsumerPartner6Pct&lt;0</f>
        <v>0</v>
      </c>
      <c r="E19" s="88" t="s">
        <v>3335</v>
      </c>
      <c r="F19" s="13" t="str">
        <f>IF(D19,E19 &amp; dec_LineBreak,"")</f>
        <v/>
      </c>
    </row>
    <row r="20" spans="1:6">
      <c r="C20">
        <v>4</v>
      </c>
      <c r="D20" s="119" t="b">
        <f>tlInputCommercialPartner4Pct&lt;0</f>
        <v>0</v>
      </c>
      <c r="E20" s="88" t="s">
        <v>3334</v>
      </c>
      <c r="F20" s="13" t="str">
        <f>IF(D20,E20 &amp; dec_LineBreak,"")</f>
        <v/>
      </c>
    </row>
    <row r="21" spans="1:6">
      <c r="C21">
        <v>5</v>
      </c>
      <c r="D21" s="119" t="b">
        <f>tlInputOpsCommercialProd3Marketing&lt;0</f>
        <v>0</v>
      </c>
      <c r="E21" s="88" t="s">
        <v>3336</v>
      </c>
      <c r="F21" s="13"/>
    </row>
    <row r="22" spans="1:6">
      <c r="C22">
        <v>6</v>
      </c>
      <c r="D22" s="119" t="b">
        <f>tlInputOpsConsumerProd3Marketing&lt;0</f>
        <v>0</v>
      </c>
      <c r="E22" s="88" t="s">
        <v>3337</v>
      </c>
      <c r="F22" s="13"/>
    </row>
    <row r="23" spans="1:6">
      <c r="C23">
        <v>7</v>
      </c>
      <c r="D23" s="119" t="b">
        <v>0</v>
      </c>
      <c r="E23" s="88"/>
      <c r="F23" s="13"/>
    </row>
    <row r="24" spans="1:6">
      <c r="C24">
        <v>8</v>
      </c>
      <c r="D24" s="119" t="b">
        <v>0</v>
      </c>
      <c r="E24" s="88"/>
      <c r="F24" s="13"/>
    </row>
    <row r="25" spans="1:6">
      <c r="C25">
        <v>9</v>
      </c>
      <c r="D25" s="119" t="b">
        <v>0</v>
      </c>
      <c r="E25" s="88"/>
      <c r="F25" s="13"/>
    </row>
    <row r="26" spans="1:6">
      <c r="C26">
        <v>10</v>
      </c>
      <c r="D26" s="119" t="b">
        <v>0</v>
      </c>
      <c r="E26" s="88"/>
      <c r="F26" s="13" t="str">
        <f>IF(D26,E26 &amp; dec_LineBreak,"")</f>
        <v/>
      </c>
    </row>
    <row r="30" spans="1:6" s="41" customFormat="1">
      <c r="A30" s="41" t="s">
        <v>231</v>
      </c>
    </row>
    <row r="32" spans="1:6">
      <c r="D32" s="14" t="b">
        <f>OR(D17:D26)</f>
        <v>0</v>
      </c>
      <c r="E32" t="s">
        <v>4</v>
      </c>
    </row>
    <row r="35" spans="4:6">
      <c r="D35" s="89" t="s">
        <v>3178</v>
      </c>
      <c r="E35" t="s">
        <v>101</v>
      </c>
      <c r="F35" t="s">
        <v>220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K87"/>
  <sheetViews>
    <sheetView topLeftCell="A16" workbookViewId="0">
      <selection activeCell="G29" sqref="G29"/>
    </sheetView>
  </sheetViews>
  <sheetFormatPr defaultColWidth="8.81640625" defaultRowHeight="16.2"/>
  <cols>
    <col min="1" max="2" width="2.453125" style="20" customWidth="1"/>
    <col min="3" max="3" width="22.26953125" style="20" customWidth="1"/>
    <col min="4" max="4" width="2.453125" style="20" customWidth="1"/>
    <col min="5" max="5" width="15.08984375" style="20" customWidth="1"/>
    <col min="6" max="6" width="20.08984375" style="20" customWidth="1"/>
    <col min="7" max="9" width="16.90625" style="20" customWidth="1"/>
    <col min="10" max="12" width="22.26953125" style="20" customWidth="1"/>
    <col min="13" max="16384" width="8.81640625" style="20"/>
  </cols>
  <sheetData>
    <row r="1" spans="1:11" s="43" customFormat="1">
      <c r="A1" s="42" t="s">
        <v>225</v>
      </c>
    </row>
    <row r="4" spans="1:11" s="40" customFormat="1">
      <c r="A4" s="39" t="s">
        <v>112</v>
      </c>
    </row>
    <row r="6" spans="1:11">
      <c r="C6" s="20" t="s">
        <v>125</v>
      </c>
      <c r="E6" s="23" t="str">
        <f>K26&amp;K27&amp;K28&amp;K29</f>
        <v>CLV 1573   Revenue 1083   (Growth: 0.136)   Gross Profit 726   (Margin: 0.67)   Operating Profit 583   (Margin: 0.538)</v>
      </c>
      <c r="F6" s="24"/>
      <c r="G6" s="24"/>
      <c r="H6" s="24"/>
      <c r="J6" s="24"/>
      <c r="K6" s="24"/>
    </row>
    <row r="7" spans="1:11">
      <c r="E7" s="22" t="s">
        <v>126</v>
      </c>
      <c r="F7" s="25"/>
      <c r="G7" s="25"/>
      <c r="H7" s="25"/>
      <c r="J7" s="25"/>
      <c r="K7" s="25"/>
    </row>
    <row r="8" spans="1:11">
      <c r="E8" s="22"/>
      <c r="F8" s="25"/>
      <c r="G8" s="25"/>
      <c r="H8" s="25"/>
      <c r="J8" s="25"/>
      <c r="K8" s="25"/>
    </row>
    <row r="9" spans="1:11">
      <c r="C9" s="20" t="s">
        <v>127</v>
      </c>
      <c r="E9" s="23" t="str">
        <f ca="1">K40&amp;K41&amp;K42&amp;K43&amp;K44&amp;K45&amp;K46&amp;K47&amp;K48&amp;K49</f>
        <v xml:space="preserve">WHI 79.5   CP Advocacy 78.7   FTEs 750                    </v>
      </c>
      <c r="F9" s="24"/>
      <c r="G9" s="24"/>
      <c r="H9" s="24"/>
      <c r="J9" s="24"/>
      <c r="K9" s="24"/>
    </row>
    <row r="10" spans="1:11">
      <c r="E10" s="22" t="s">
        <v>128</v>
      </c>
      <c r="F10" s="25"/>
      <c r="G10" s="25"/>
      <c r="H10" s="25"/>
      <c r="J10" s="25"/>
      <c r="K10" s="25"/>
    </row>
    <row r="11" spans="1:11">
      <c r="E11" s="22"/>
      <c r="F11" s="25"/>
      <c r="G11" s="25"/>
      <c r="H11" s="25"/>
      <c r="J11" s="25"/>
      <c r="K11" s="25"/>
    </row>
    <row r="12" spans="1:11">
      <c r="C12" s="20" t="s">
        <v>129</v>
      </c>
      <c r="E12" s="23" t="str">
        <f>K54&amp;K55&amp;K56&amp;K57&amp;K58&amp;K59&amp;K60&amp;K61&amp;K62&amp;K63</f>
        <v xml:space="preserve">Cloud Adoption 0.84   Avg. Consumption 0.149   Avg. Churn 0.31                        </v>
      </c>
      <c r="F12" s="24"/>
      <c r="G12" s="24"/>
      <c r="H12" s="24"/>
      <c r="J12" s="24"/>
      <c r="K12" s="24"/>
    </row>
    <row r="13" spans="1:11">
      <c r="E13" s="22" t="s">
        <v>130</v>
      </c>
    </row>
    <row r="14" spans="1:11">
      <c r="E14" s="22"/>
      <c r="F14" s="25"/>
      <c r="G14" s="25"/>
      <c r="H14" s="25"/>
      <c r="J14" s="25"/>
      <c r="K14" s="25"/>
    </row>
    <row r="15" spans="1:11">
      <c r="C15" s="20" t="s">
        <v>129</v>
      </c>
      <c r="E15" s="23" t="str">
        <f ca="1">K69&amp;K70&amp;K71</f>
        <v>WHI 79.5   CP Advocacy 78.7   ETUs 200</v>
      </c>
      <c r="F15" s="24"/>
      <c r="G15" s="24"/>
      <c r="H15" s="24"/>
      <c r="J15" s="24"/>
      <c r="K15" s="24"/>
    </row>
    <row r="16" spans="1:11">
      <c r="E16" s="22" t="s">
        <v>474</v>
      </c>
    </row>
    <row r="18" spans="1:11" s="40" customFormat="1">
      <c r="A18" s="39" t="s">
        <v>113</v>
      </c>
    </row>
    <row r="20" spans="1:11">
      <c r="C20" s="26" t="s">
        <v>131</v>
      </c>
      <c r="E20" s="120">
        <v>1</v>
      </c>
      <c r="F20" s="22" t="s">
        <v>132</v>
      </c>
    </row>
    <row r="21" spans="1:11">
      <c r="C21" s="26" t="s">
        <v>133</v>
      </c>
      <c r="E21" s="120">
        <v>4</v>
      </c>
      <c r="F21" s="22" t="s">
        <v>134</v>
      </c>
    </row>
    <row r="22" spans="1:11">
      <c r="C22" s="20" t="s">
        <v>135</v>
      </c>
      <c r="E22" s="120">
        <v>1</v>
      </c>
      <c r="F22" s="22" t="s">
        <v>136</v>
      </c>
    </row>
    <row r="23" spans="1:11">
      <c r="F23" s="22"/>
    </row>
    <row r="24" spans="1:11">
      <c r="B24" s="21" t="s">
        <v>125</v>
      </c>
    </row>
    <row r="25" spans="1:11">
      <c r="C25" s="20" t="s">
        <v>143</v>
      </c>
      <c r="E25" s="20" t="s">
        <v>115</v>
      </c>
      <c r="F25" s="26" t="s">
        <v>144</v>
      </c>
      <c r="G25" s="26" t="s">
        <v>145</v>
      </c>
      <c r="H25" s="20" t="s">
        <v>146</v>
      </c>
      <c r="I25" s="20" t="s">
        <v>147</v>
      </c>
      <c r="J25" s="26" t="s">
        <v>148</v>
      </c>
      <c r="K25" s="26" t="s">
        <v>149</v>
      </c>
    </row>
    <row r="26" spans="1:11">
      <c r="B26" s="20">
        <v>1</v>
      </c>
      <c r="C26" s="122" t="s">
        <v>395</v>
      </c>
      <c r="D26" s="121"/>
      <c r="E26" s="122" t="b">
        <v>1</v>
      </c>
      <c r="F26" s="1226">
        <f>INDEX(cbalTotalCLV,xxIndexTeam)/1000000</f>
        <v>1572.7737531877312</v>
      </c>
      <c r="G26" s="1227">
        <f>ROUND(F26,0)</f>
        <v>1573</v>
      </c>
      <c r="H26" s="123"/>
      <c r="I26" s="44" t="str">
        <f>"(Growth: "&amp;H26&amp;")"</f>
        <v>(Growth: )</v>
      </c>
      <c r="J26" s="131" t="str">
        <f>INDEX(DB_arrayDash1Names,$B26)&amp; DB_WhiteSpace &amp; INDEX(DB_arrayDash1Values,$B26)&amp; IF(H26="","",DB_SubWhiteSpace &amp; I26)</f>
        <v>CLV 1573</v>
      </c>
      <c r="K26" s="132" t="str">
        <f>IF(E26,J26,"")</f>
        <v>CLV 1573</v>
      </c>
    </row>
    <row r="27" spans="1:11">
      <c r="B27" s="20">
        <v>2</v>
      </c>
      <c r="C27" s="125" t="s">
        <v>117</v>
      </c>
      <c r="D27" s="121"/>
      <c r="E27" s="125" t="b">
        <v>1</v>
      </c>
      <c r="F27" s="181">
        <f>INDEX(finPNLTotalRev,xxIndexTeam)/1000000</f>
        <v>1082.9839404293339</v>
      </c>
      <c r="G27" s="1228">
        <f t="shared" ref="G27:G29" si="0">ROUND(F27,0)</f>
        <v>1083</v>
      </c>
      <c r="H27" s="1229">
        <f>ROUND(INDEX(cbalTotalRevGrowth,xxIndexTeam),3)</f>
        <v>0.13600000000000001</v>
      </c>
      <c r="I27" s="44" t="str">
        <f>"(Growth: "&amp;H27&amp;")"</f>
        <v>(Growth: 0.136)</v>
      </c>
      <c r="J27" s="131" t="str">
        <f>DB_LargeWhiteSpace&amp;INDEX(DB_arrayDash1Names,$B27)&amp; DB_WhiteSpace &amp; INDEX(DB_arrayDash1Values,$B27)&amp; IF(H27="","",DB_SubWhiteSpace &amp; I27)</f>
        <v xml:space="preserve">   Revenue 1083   (Growth: 0.136)</v>
      </c>
      <c r="K27" s="132" t="str">
        <f>IF(E27,J27,"")</f>
        <v xml:space="preserve">   Revenue 1083   (Growth: 0.136)</v>
      </c>
    </row>
    <row r="28" spans="1:11">
      <c r="B28" s="20">
        <v>3</v>
      </c>
      <c r="C28" s="125" t="s">
        <v>206</v>
      </c>
      <c r="D28" s="121"/>
      <c r="E28" s="125" t="b">
        <v>1</v>
      </c>
      <c r="F28" s="181">
        <f>INDEX(finPNLTotalGrossProfit,xxIndexTeam)/1000000</f>
        <v>725.5332942945796</v>
      </c>
      <c r="G28" s="1228">
        <f t="shared" si="0"/>
        <v>726</v>
      </c>
      <c r="H28" s="1229">
        <f>ROUND(INDEX(finPNLTotalGrossMargin,xxIndexTeam),3)</f>
        <v>0.67</v>
      </c>
      <c r="I28" s="44" t="str">
        <f>"(Margin: "&amp;H28&amp;")"</f>
        <v>(Margin: 0.67)</v>
      </c>
      <c r="J28" s="131" t="str">
        <f>DB_LargeWhiteSpace&amp;INDEX(DB_arrayDash1Names,$B28)&amp; DB_WhiteSpace &amp; INDEX(DB_arrayDash1Values,$B28)&amp; IF(H28="","",DB_SubWhiteSpace &amp; I28)</f>
        <v xml:space="preserve">   Gross Profit 726   (Margin: 0.67)</v>
      </c>
      <c r="K28" s="132" t="str">
        <f>IF(E28,J28,"")</f>
        <v xml:space="preserve">   Gross Profit 726   (Margin: 0.67)</v>
      </c>
    </row>
    <row r="29" spans="1:11">
      <c r="B29" s="20">
        <v>4</v>
      </c>
      <c r="C29" s="125" t="s">
        <v>396</v>
      </c>
      <c r="D29" s="121"/>
      <c r="E29" s="125" t="b">
        <v>1</v>
      </c>
      <c r="F29" s="181">
        <f>INDEX(finPNLTotalOpsProfit,xxIndexTeam)/1000000</f>
        <v>582.78329429457972</v>
      </c>
      <c r="G29" s="1228">
        <f t="shared" si="0"/>
        <v>583</v>
      </c>
      <c r="H29" s="1229">
        <f>ROUND(INDEX(finPNLTotalOpsMargin,xxIndexTeam),3)</f>
        <v>0.53800000000000003</v>
      </c>
      <c r="I29" s="44" t="str">
        <f>"(Margin: "&amp;H29&amp;")"</f>
        <v>(Margin: 0.538)</v>
      </c>
      <c r="J29" s="131" t="str">
        <f>DB_LargeWhiteSpace&amp;INDEX(DB_arrayDash1Names,$B29)&amp; DB_WhiteSpace &amp; INDEX(DB_arrayDash1Values,$B29)&amp; IF(H29="","",DB_SubWhiteSpace &amp; I29)</f>
        <v xml:space="preserve">   Operating Profit 583   (Margin: 0.538)</v>
      </c>
      <c r="K29" s="132" t="str">
        <f>IF(E29,J29,"")</f>
        <v xml:space="preserve">   Operating Profit 583   (Margin: 0.538)</v>
      </c>
    </row>
    <row r="30" spans="1:11">
      <c r="B30" s="20">
        <v>5</v>
      </c>
      <c r="C30" s="125"/>
      <c r="D30" s="121"/>
      <c r="E30" s="125" t="b">
        <v>0</v>
      </c>
      <c r="F30" s="126"/>
      <c r="G30" s="44"/>
      <c r="H30" s="126"/>
      <c r="I30" s="44"/>
      <c r="J30" s="131" t="str">
        <f t="shared" ref="J30:J35" si="1">DB_LargeWhiteSpace&amp;INDEX(DB_arrayDash1Names,$B30)&amp; DB_WhiteSpace &amp; INDEX(DB_arrayDash1Values,$B30)&amp; IF(H30="","",DB_SubWhiteSpace &amp; I30)</f>
        <v xml:space="preserve">    </v>
      </c>
      <c r="K30" s="132" t="str">
        <f t="shared" ref="K30:K35" si="2">IF(E30,J30,"")</f>
        <v/>
      </c>
    </row>
    <row r="31" spans="1:11">
      <c r="B31" s="20">
        <v>6</v>
      </c>
      <c r="C31" s="125"/>
      <c r="D31" s="121"/>
      <c r="E31" s="125" t="b">
        <v>0</v>
      </c>
      <c r="F31" s="126"/>
      <c r="G31" s="44"/>
      <c r="H31" s="126"/>
      <c r="I31" s="44"/>
      <c r="J31" s="131" t="str">
        <f t="shared" si="1"/>
        <v xml:space="preserve">    </v>
      </c>
      <c r="K31" s="132" t="str">
        <f t="shared" si="2"/>
        <v/>
      </c>
    </row>
    <row r="32" spans="1:11">
      <c r="B32" s="20">
        <v>7</v>
      </c>
      <c r="C32" s="125"/>
      <c r="D32" s="121"/>
      <c r="E32" s="125" t="b">
        <v>0</v>
      </c>
      <c r="F32" s="126"/>
      <c r="G32" s="44"/>
      <c r="H32" s="126"/>
      <c r="I32" s="44"/>
      <c r="J32" s="131" t="str">
        <f t="shared" si="1"/>
        <v xml:space="preserve">    </v>
      </c>
      <c r="K32" s="132" t="str">
        <f t="shared" si="2"/>
        <v/>
      </c>
    </row>
    <row r="33" spans="2:11">
      <c r="B33" s="20">
        <v>8</v>
      </c>
      <c r="C33" s="125"/>
      <c r="D33" s="121"/>
      <c r="E33" s="125" t="b">
        <v>0</v>
      </c>
      <c r="F33" s="126"/>
      <c r="G33" s="44"/>
      <c r="H33" s="126"/>
      <c r="I33" s="44"/>
      <c r="J33" s="131" t="str">
        <f t="shared" si="1"/>
        <v xml:space="preserve">    </v>
      </c>
      <c r="K33" s="132" t="str">
        <f t="shared" si="2"/>
        <v/>
      </c>
    </row>
    <row r="34" spans="2:11">
      <c r="B34" s="20">
        <v>9</v>
      </c>
      <c r="C34" s="125"/>
      <c r="D34" s="121"/>
      <c r="E34" s="125" t="b">
        <v>0</v>
      </c>
      <c r="F34" s="126"/>
      <c r="G34" s="44"/>
      <c r="H34" s="126"/>
      <c r="I34" s="44"/>
      <c r="J34" s="131" t="str">
        <f t="shared" si="1"/>
        <v xml:space="preserve">    </v>
      </c>
      <c r="K34" s="132" t="str">
        <f t="shared" si="2"/>
        <v/>
      </c>
    </row>
    <row r="35" spans="2:11">
      <c r="B35" s="20">
        <v>10</v>
      </c>
      <c r="C35" s="127"/>
      <c r="D35" s="121"/>
      <c r="E35" s="127" t="b">
        <v>0</v>
      </c>
      <c r="F35" s="128"/>
      <c r="G35" s="45"/>
      <c r="H35" s="128"/>
      <c r="I35" s="45"/>
      <c r="J35" s="133" t="str">
        <f t="shared" si="1"/>
        <v xml:space="preserve">    </v>
      </c>
      <c r="K35" s="134" t="str">
        <f t="shared" si="2"/>
        <v/>
      </c>
    </row>
    <row r="36" spans="2:11">
      <c r="C36" s="22" t="s">
        <v>150</v>
      </c>
      <c r="E36" s="22"/>
      <c r="G36" s="22" t="s">
        <v>151</v>
      </c>
    </row>
    <row r="38" spans="2:11">
      <c r="B38" s="21" t="s">
        <v>127</v>
      </c>
    </row>
    <row r="39" spans="2:11">
      <c r="C39" s="20" t="s">
        <v>143</v>
      </c>
      <c r="E39" s="20" t="s">
        <v>115</v>
      </c>
      <c r="F39" s="26" t="s">
        <v>144</v>
      </c>
      <c r="G39" s="26" t="s">
        <v>145</v>
      </c>
      <c r="H39" s="20" t="s">
        <v>146</v>
      </c>
      <c r="I39" s="20" t="s">
        <v>147</v>
      </c>
      <c r="J39" s="26" t="s">
        <v>148</v>
      </c>
      <c r="K39" s="26" t="s">
        <v>149</v>
      </c>
    </row>
    <row r="40" spans="2:11">
      <c r="B40" s="20">
        <v>1</v>
      </c>
      <c r="C40" s="122" t="s">
        <v>394</v>
      </c>
      <c r="D40" s="121"/>
      <c r="E40" s="122" t="b">
        <v>1</v>
      </c>
      <c r="F40" s="179">
        <f ca="1">INDEX(cbalWHI,xxIndexTeam)</f>
        <v>79.546374999999998</v>
      </c>
      <c r="G40" s="1230">
        <f ca="1">ROUND(F40,1)</f>
        <v>79.5</v>
      </c>
      <c r="H40" s="123"/>
      <c r="I40" s="124"/>
      <c r="J40" s="129" t="str">
        <f ca="1">INDEX(DB_arrayDash2Names,$B40)&amp; DB_WhiteSpace &amp; INDEX(DB_arrayDash2Values,$B40) &amp; IF(H40="","",DB_SubWhiteSpace &amp; I40)</f>
        <v>WHI 79.5</v>
      </c>
      <c r="K40" s="130" t="str">
        <f t="shared" ref="K40:K49" ca="1" si="3">IF(E40,J40,"")</f>
        <v>WHI 79.5</v>
      </c>
    </row>
    <row r="41" spans="2:11">
      <c r="B41" s="20">
        <v>2</v>
      </c>
      <c r="C41" s="125" t="s">
        <v>2665</v>
      </c>
      <c r="D41" s="121"/>
      <c r="E41" s="125" t="b">
        <v>1</v>
      </c>
      <c r="F41" s="180">
        <f>INDEX(cbalCPE,xxIndexTeam)</f>
        <v>78.678750000000008</v>
      </c>
      <c r="G41" s="1231">
        <f>ROUND(F41,1)</f>
        <v>78.7</v>
      </c>
      <c r="H41" s="126"/>
      <c r="I41" s="44"/>
      <c r="J41" s="131" t="str">
        <f>DB_LargeWhiteSpace&amp;INDEX(DB_arrayDash2Names,$B41)&amp; DB_WhiteSpace &amp; INDEX(DB_arrayDash2Values,$B41)&amp; IF(H41="","",DB_SubWhiteSpace &amp; I41)</f>
        <v xml:space="preserve">   CP Advocacy 78.7</v>
      </c>
      <c r="K41" s="132" t="str">
        <f>IF(E41,J41,"")</f>
        <v xml:space="preserve">   CP Advocacy 78.7</v>
      </c>
    </row>
    <row r="42" spans="2:11">
      <c r="B42" s="20">
        <v>3</v>
      </c>
      <c r="C42" s="125" t="s">
        <v>170</v>
      </c>
      <c r="D42" s="121"/>
      <c r="E42" s="125" t="b">
        <v>1</v>
      </c>
      <c r="F42" s="180">
        <f>INDEX(calcFTEsRemaining,xxIndexTeam)</f>
        <v>750</v>
      </c>
      <c r="G42" s="1231">
        <f>ROUND(F42,0)</f>
        <v>750</v>
      </c>
      <c r="H42" s="126"/>
      <c r="I42" s="44"/>
      <c r="J42" s="131" t="str">
        <f>DB_LargeWhiteSpace&amp;INDEX(DB_arrayDash2Names,$B42)&amp; DB_WhiteSpace &amp; INDEX(DB_arrayDash2Values,$B42)&amp; IF(H42="","",DB_SubWhiteSpace &amp; I42)</f>
        <v xml:space="preserve">   FTEs 750</v>
      </c>
      <c r="K42" s="132" t="str">
        <f>IF(E42,J42,"")</f>
        <v xml:space="preserve">   FTEs 750</v>
      </c>
    </row>
    <row r="43" spans="2:11">
      <c r="B43" s="20">
        <v>4</v>
      </c>
      <c r="C43" s="125"/>
      <c r="D43" s="121"/>
      <c r="E43" s="125" t="b">
        <v>1</v>
      </c>
      <c r="F43" s="180"/>
      <c r="G43" s="44"/>
      <c r="H43" s="126"/>
      <c r="I43" s="44"/>
      <c r="J43" s="131"/>
      <c r="K43" s="132"/>
    </row>
    <row r="44" spans="2:11">
      <c r="B44" s="20">
        <v>5</v>
      </c>
      <c r="C44" s="125"/>
      <c r="D44" s="121"/>
      <c r="E44" s="125" t="b">
        <v>1</v>
      </c>
      <c r="F44" s="126"/>
      <c r="G44" s="44"/>
      <c r="H44" s="126"/>
      <c r="I44" s="44"/>
      <c r="J44" s="131"/>
      <c r="K44" s="132"/>
    </row>
    <row r="45" spans="2:11">
      <c r="B45" s="20">
        <v>6</v>
      </c>
      <c r="C45" s="125"/>
      <c r="D45" s="121"/>
      <c r="E45" s="125" t="b">
        <v>1</v>
      </c>
      <c r="F45" s="126"/>
      <c r="G45" s="44"/>
      <c r="H45" s="126"/>
      <c r="I45" s="44"/>
      <c r="J45" s="131" t="str">
        <f>DB_LargeWhiteSpace&amp;INDEX(DB_arrayDash2Names,$B45)&amp; DB_WhiteSpace &amp; INDEX(DB_arrayDash2Values,$B45)&amp; IF(H45="","",DB_SubWhiteSpace &amp; I45)</f>
        <v xml:space="preserve">    </v>
      </c>
      <c r="K45" s="132" t="str">
        <f t="shared" si="3"/>
        <v xml:space="preserve">    </v>
      </c>
    </row>
    <row r="46" spans="2:11">
      <c r="B46" s="20">
        <v>7</v>
      </c>
      <c r="C46" s="125"/>
      <c r="D46" s="121"/>
      <c r="E46" s="125" t="b">
        <v>1</v>
      </c>
      <c r="F46" s="126"/>
      <c r="G46" s="44"/>
      <c r="H46" s="126"/>
      <c r="I46" s="44"/>
      <c r="J46" s="131" t="str">
        <f>DB_LargeWhiteSpace&amp;INDEX(DB_arrayDash2Names,$B46)&amp; DB_WhiteSpace &amp; INDEX(DB_arrayDash2Values,$B46)&amp; IF(H46="","",DB_SubWhiteSpace &amp; I46)</f>
        <v xml:space="preserve">    </v>
      </c>
      <c r="K46" s="132" t="str">
        <f t="shared" si="3"/>
        <v xml:space="preserve">    </v>
      </c>
    </row>
    <row r="47" spans="2:11">
      <c r="B47" s="20">
        <v>8</v>
      </c>
      <c r="C47" s="125"/>
      <c r="D47" s="121"/>
      <c r="E47" s="125" t="b">
        <v>1</v>
      </c>
      <c r="F47" s="126"/>
      <c r="G47" s="44"/>
      <c r="H47" s="126"/>
      <c r="I47" s="44"/>
      <c r="J47" s="131" t="str">
        <f>DB_LargeWhiteSpace&amp;INDEX(DB_arrayDash2Names,$B47)&amp; DB_WhiteSpace &amp; INDEX(DB_arrayDash2Values,$B47)&amp; IF(H47="","",DB_SubWhiteSpace &amp; I47)</f>
        <v xml:space="preserve">    </v>
      </c>
      <c r="K47" s="132" t="str">
        <f t="shared" si="3"/>
        <v xml:space="preserve">    </v>
      </c>
    </row>
    <row r="48" spans="2:11">
      <c r="B48" s="20">
        <v>9</v>
      </c>
      <c r="C48" s="125"/>
      <c r="D48" s="121"/>
      <c r="E48" s="125" t="b">
        <v>1</v>
      </c>
      <c r="F48" s="126"/>
      <c r="G48" s="44"/>
      <c r="H48" s="126"/>
      <c r="I48" s="44"/>
      <c r="J48" s="131" t="str">
        <f>DB_LargeWhiteSpace&amp;INDEX(DB_arrayDash2Names,$B48)&amp; DB_WhiteSpace &amp; INDEX(DB_arrayDash2Values,$B48)&amp; IF(H48="","",DB_SubWhiteSpace &amp; I48)</f>
        <v xml:space="preserve">    </v>
      </c>
      <c r="K48" s="132" t="str">
        <f t="shared" si="3"/>
        <v xml:space="preserve">    </v>
      </c>
    </row>
    <row r="49" spans="2:11">
      <c r="B49" s="20">
        <v>10</v>
      </c>
      <c r="C49" s="127"/>
      <c r="D49" s="121"/>
      <c r="E49" s="127" t="b">
        <v>1</v>
      </c>
      <c r="F49" s="128"/>
      <c r="G49" s="45"/>
      <c r="H49" s="128"/>
      <c r="I49" s="45"/>
      <c r="J49" s="133" t="str">
        <f>DB_LargeWhiteSpace&amp;INDEX(DB_arrayDash2Names,$B49)&amp; DB_WhiteSpace &amp; INDEX(DB_arrayDash2Values,$B49)&amp; IF(H49="","",DB_SubWhiteSpace &amp; I49)</f>
        <v xml:space="preserve">    </v>
      </c>
      <c r="K49" s="134" t="str">
        <f t="shared" si="3"/>
        <v xml:space="preserve">    </v>
      </c>
    </row>
    <row r="50" spans="2:11">
      <c r="C50" s="22" t="s">
        <v>152</v>
      </c>
      <c r="E50" s="22"/>
      <c r="G50" s="22" t="s">
        <v>153</v>
      </c>
    </row>
    <row r="52" spans="2:11">
      <c r="B52" s="21" t="s">
        <v>129</v>
      </c>
    </row>
    <row r="53" spans="2:11">
      <c r="C53" s="20" t="s">
        <v>143</v>
      </c>
      <c r="E53" s="20" t="s">
        <v>115</v>
      </c>
      <c r="F53" s="26" t="s">
        <v>144</v>
      </c>
      <c r="G53" s="26" t="s">
        <v>145</v>
      </c>
      <c r="H53" s="20" t="s">
        <v>146</v>
      </c>
      <c r="I53" s="20" t="s">
        <v>147</v>
      </c>
      <c r="J53" s="26" t="s">
        <v>148</v>
      </c>
      <c r="K53" s="26" t="s">
        <v>149</v>
      </c>
    </row>
    <row r="54" spans="2:11">
      <c r="B54" s="20">
        <v>1</v>
      </c>
      <c r="C54" s="125" t="s">
        <v>399</v>
      </c>
      <c r="D54" s="121"/>
      <c r="E54" s="125" t="b">
        <v>1</v>
      </c>
      <c r="F54" s="126">
        <f>INDEX(cbalCloudAdoption,xxIndexTeam)</f>
        <v>0.83995427246632004</v>
      </c>
      <c r="G54" s="44">
        <f>ROUND(F54,3)</f>
        <v>0.84</v>
      </c>
      <c r="H54" s="123"/>
      <c r="I54" s="124"/>
      <c r="J54" s="129" t="str">
        <f>INDEX(DB_arrayDash3Names,$B54)&amp; DB_WhiteSpace &amp; INDEX(DB_arrayDash3Values,$B54) &amp; IF(H54="","",DB_SubWhiteSpace &amp; I54)</f>
        <v>Cloud Adoption 0.84</v>
      </c>
      <c r="K54" s="130" t="str">
        <f>IF(E54,J54,"")</f>
        <v>Cloud Adoption 0.84</v>
      </c>
    </row>
    <row r="55" spans="2:11">
      <c r="B55" s="20">
        <v>2</v>
      </c>
      <c r="C55" s="125" t="s">
        <v>400</v>
      </c>
      <c r="D55" s="121"/>
      <c r="E55" s="125" t="b">
        <v>1</v>
      </c>
      <c r="F55" s="126">
        <f>INDEX(cbalAvgConsumption,xxIndexTeam)</f>
        <v>0.14889885236960354</v>
      </c>
      <c r="G55" s="44">
        <f>ROUND(F55,3)</f>
        <v>0.14899999999999999</v>
      </c>
      <c r="H55" s="126"/>
      <c r="I55" s="44"/>
      <c r="J55" s="131" t="str">
        <f>DB_LargeWhiteSpace&amp;INDEX(DB_arrayDash3Names,$B55)&amp; DB_WhiteSpace &amp; INDEX(DB_arrayDash3Values,$B55)&amp; IF(H55="","",DB_SubWhiteSpace &amp; I55)</f>
        <v xml:space="preserve">   Avg. Consumption 0.149</v>
      </c>
      <c r="K55" s="132" t="str">
        <f>IF(E55,J55,"")</f>
        <v xml:space="preserve">   Avg. Consumption 0.149</v>
      </c>
    </row>
    <row r="56" spans="2:11">
      <c r="B56" s="20">
        <v>3</v>
      </c>
      <c r="C56" s="125" t="s">
        <v>1741</v>
      </c>
      <c r="D56" s="121"/>
      <c r="E56" s="125" t="b">
        <v>1</v>
      </c>
      <c r="F56" s="126">
        <f>(1-INDEX(cbalAvgRenRate,xxIndexTeam))</f>
        <v>0.31005617740451386</v>
      </c>
      <c r="G56" s="44">
        <f>ROUND(F56,3)</f>
        <v>0.31</v>
      </c>
      <c r="H56" s="126"/>
      <c r="I56" s="44"/>
      <c r="J56" s="131" t="str">
        <f>DB_LargeWhiteSpace&amp;INDEX(DB_arrayDash3Names,$B56)&amp; DB_WhiteSpace &amp; INDEX(DB_arrayDash3Values,$B56)&amp; IF(H56="","",DB_SubWhiteSpace &amp; I56)</f>
        <v xml:space="preserve">   Avg. Churn 0.31</v>
      </c>
      <c r="K56" s="132" t="str">
        <f>IF(E56,J56,"")</f>
        <v xml:space="preserve">   Avg. Churn 0.31</v>
      </c>
    </row>
    <row r="57" spans="2:11">
      <c r="B57" s="20">
        <v>4</v>
      </c>
      <c r="C57" s="125"/>
      <c r="D57" s="121"/>
      <c r="E57" s="125"/>
      <c r="F57" s="126"/>
      <c r="G57" s="44"/>
      <c r="H57" s="126"/>
      <c r="I57" s="44"/>
      <c r="J57" s="131" t="str">
        <f>DB_LargeWhiteSpace&amp;INDEX(DB_arrayDash3Names,$B57)&amp; DB_WhiteSpace &amp; INDEX(DB_arrayDash3Values,$B57)&amp; IF(H57="","",DB_SubWhiteSpace &amp; I57)</f>
        <v xml:space="preserve">    </v>
      </c>
      <c r="K57" s="132" t="str">
        <f>IF(E57,J57,"")</f>
        <v/>
      </c>
    </row>
    <row r="58" spans="2:11">
      <c r="B58" s="20">
        <v>5</v>
      </c>
      <c r="C58" s="125"/>
      <c r="D58" s="121"/>
      <c r="E58" s="125" t="b">
        <v>1</v>
      </c>
      <c r="F58" s="126"/>
      <c r="G58" s="44"/>
      <c r="H58" s="126"/>
      <c r="I58" s="44"/>
      <c r="J58" s="131" t="str">
        <f t="shared" ref="J58:J63" si="4">DB_LargeWhiteSpace&amp;INDEX(DB_arrayDash3Names,$B58)&amp; DB_WhiteSpace &amp; INDEX(DB_arrayDash3Values,$B58)&amp; IF(H58="","",DB_SubWhiteSpace &amp; I58)</f>
        <v xml:space="preserve">    </v>
      </c>
      <c r="K58" s="132" t="str">
        <f t="shared" ref="K58:K63" si="5">IF(E58,J58,"")</f>
        <v xml:space="preserve">    </v>
      </c>
    </row>
    <row r="59" spans="2:11">
      <c r="B59" s="20">
        <v>6</v>
      </c>
      <c r="C59" s="125"/>
      <c r="D59" s="121"/>
      <c r="E59" s="125" t="b">
        <v>1</v>
      </c>
      <c r="F59" s="126"/>
      <c r="G59" s="44"/>
      <c r="H59" s="126"/>
      <c r="I59" s="44"/>
      <c r="J59" s="131" t="str">
        <f t="shared" si="4"/>
        <v xml:space="preserve">    </v>
      </c>
      <c r="K59" s="132" t="str">
        <f t="shared" si="5"/>
        <v xml:space="preserve">    </v>
      </c>
    </row>
    <row r="60" spans="2:11">
      <c r="B60" s="20">
        <v>7</v>
      </c>
      <c r="C60" s="125"/>
      <c r="D60" s="121"/>
      <c r="E60" s="125" t="b">
        <v>1</v>
      </c>
      <c r="F60" s="126"/>
      <c r="G60" s="44"/>
      <c r="H60" s="126"/>
      <c r="I60" s="44"/>
      <c r="J60" s="131" t="str">
        <f t="shared" si="4"/>
        <v xml:space="preserve">    </v>
      </c>
      <c r="K60" s="132" t="str">
        <f t="shared" si="5"/>
        <v xml:space="preserve">    </v>
      </c>
    </row>
    <row r="61" spans="2:11">
      <c r="B61" s="20">
        <v>8</v>
      </c>
      <c r="C61" s="125"/>
      <c r="D61" s="121"/>
      <c r="E61" s="125" t="b">
        <v>1</v>
      </c>
      <c r="F61" s="126"/>
      <c r="G61" s="44"/>
      <c r="H61" s="126"/>
      <c r="I61" s="44"/>
      <c r="J61" s="131" t="str">
        <f t="shared" si="4"/>
        <v xml:space="preserve">    </v>
      </c>
      <c r="K61" s="132" t="str">
        <f t="shared" si="5"/>
        <v xml:space="preserve">    </v>
      </c>
    </row>
    <row r="62" spans="2:11">
      <c r="B62" s="20">
        <v>9</v>
      </c>
      <c r="C62" s="125"/>
      <c r="D62" s="121"/>
      <c r="E62" s="125" t="b">
        <v>1</v>
      </c>
      <c r="F62" s="126"/>
      <c r="G62" s="44"/>
      <c r="H62" s="126"/>
      <c r="I62" s="44"/>
      <c r="J62" s="131" t="str">
        <f t="shared" si="4"/>
        <v xml:space="preserve">    </v>
      </c>
      <c r="K62" s="132" t="str">
        <f t="shared" si="5"/>
        <v xml:space="preserve">    </v>
      </c>
    </row>
    <row r="63" spans="2:11">
      <c r="B63" s="20">
        <v>10</v>
      </c>
      <c r="C63" s="127"/>
      <c r="D63" s="121"/>
      <c r="E63" s="127" t="b">
        <v>1</v>
      </c>
      <c r="F63" s="128"/>
      <c r="G63" s="45"/>
      <c r="H63" s="128"/>
      <c r="I63" s="45"/>
      <c r="J63" s="133" t="str">
        <f t="shared" si="4"/>
        <v xml:space="preserve">    </v>
      </c>
      <c r="K63" s="134" t="str">
        <f t="shared" si="5"/>
        <v xml:space="preserve">    </v>
      </c>
    </row>
    <row r="64" spans="2:11">
      <c r="C64" s="22" t="s">
        <v>154</v>
      </c>
      <c r="E64" s="22"/>
      <c r="G64" s="22" t="s">
        <v>155</v>
      </c>
    </row>
    <row r="67" spans="2:11">
      <c r="B67" s="21" t="s">
        <v>1383</v>
      </c>
    </row>
    <row r="68" spans="2:11">
      <c r="C68" s="20" t="s">
        <v>143</v>
      </c>
      <c r="E68" s="20" t="s">
        <v>115</v>
      </c>
      <c r="F68" s="26" t="s">
        <v>144</v>
      </c>
      <c r="G68" s="26" t="s">
        <v>145</v>
      </c>
      <c r="H68" s="20" t="s">
        <v>146</v>
      </c>
      <c r="I68" s="20" t="s">
        <v>147</v>
      </c>
      <c r="J68" s="26" t="s">
        <v>148</v>
      </c>
      <c r="K68" s="26" t="s">
        <v>149</v>
      </c>
    </row>
    <row r="69" spans="2:11">
      <c r="B69" s="20">
        <v>1</v>
      </c>
      <c r="C69" s="122" t="s">
        <v>394</v>
      </c>
      <c r="D69" s="121"/>
      <c r="E69" s="122" t="b">
        <v>1</v>
      </c>
      <c r="F69" s="123">
        <f ca="1">INDEX(cbalWHI,xxIndexTeam)</f>
        <v>79.546374999999998</v>
      </c>
      <c r="G69" s="124">
        <f ca="1">ROUND(F69,1)</f>
        <v>79.5</v>
      </c>
      <c r="H69" s="123"/>
      <c r="I69" s="124"/>
      <c r="J69" s="129" t="str">
        <f ca="1">INDEX(DB_arrayDash4Names,$B69)&amp; DB_WhiteSpace &amp; INDEX(DB_arrayDash4Values,$B69) &amp; IF(H69="","",DB_SubWhiteSpace &amp; I69)</f>
        <v>WHI 79.5</v>
      </c>
      <c r="K69" s="130" t="str">
        <f ca="1">IF(E69,J69,"")</f>
        <v>WHI 79.5</v>
      </c>
    </row>
    <row r="70" spans="2:11">
      <c r="B70" s="20">
        <v>2</v>
      </c>
      <c r="C70" s="125" t="s">
        <v>2665</v>
      </c>
      <c r="D70" s="121"/>
      <c r="E70" s="125" t="b">
        <v>1</v>
      </c>
      <c r="F70" s="126">
        <f>INDEX(cbalCPE,xxIndexTeam)</f>
        <v>78.678750000000008</v>
      </c>
      <c r="G70" s="44">
        <f>ROUND(F70,1)</f>
        <v>78.7</v>
      </c>
      <c r="H70" s="126"/>
      <c r="I70" s="44"/>
      <c r="J70" s="131" t="str">
        <f>DB_LargeWhiteSpace&amp;INDEX(DB_arrayDash4Names,$B70)&amp; DB_WhiteSpace &amp; INDEX(DB_arrayDash4Values,$B70)&amp; IF(H70="","",DB_SubWhiteSpace &amp; I70)</f>
        <v xml:space="preserve">   CP Advocacy 78.7</v>
      </c>
      <c r="K70" s="132" t="str">
        <f>IF(E70,J70,"")</f>
        <v xml:space="preserve">   CP Advocacy 78.7</v>
      </c>
    </row>
    <row r="71" spans="2:11">
      <c r="B71" s="20">
        <v>3</v>
      </c>
      <c r="C71" s="125" t="s">
        <v>1367</v>
      </c>
      <c r="D71" s="121"/>
      <c r="E71" s="125" t="b">
        <v>1</v>
      </c>
      <c r="F71" s="126">
        <f>INDEX(calcETUsRemaining,xxIndexTeam)</f>
        <v>200</v>
      </c>
      <c r="G71" s="44">
        <f>ROUND(F71,0)</f>
        <v>200</v>
      </c>
      <c r="H71" s="126"/>
      <c r="I71" s="44"/>
      <c r="J71" s="131" t="str">
        <f>DB_LargeWhiteSpace&amp;INDEX(DB_arrayDash4Names,$B71)&amp; DB_WhiteSpace &amp; INDEX(DB_arrayDash4Values,$B71)&amp; IF(H71="","",DB_SubWhiteSpace &amp; I71)</f>
        <v xml:space="preserve">   ETUs 200</v>
      </c>
      <c r="K71" s="132" t="str">
        <f>IF(E71,J71,"")</f>
        <v xml:space="preserve">   ETUs 200</v>
      </c>
    </row>
    <row r="72" spans="2:11">
      <c r="B72" s="20">
        <v>4</v>
      </c>
      <c r="C72" s="125"/>
      <c r="D72" s="121"/>
      <c r="E72" s="125" t="b">
        <v>1</v>
      </c>
      <c r="F72" s="126"/>
      <c r="G72" s="44"/>
      <c r="H72" s="126"/>
      <c r="I72" s="44"/>
      <c r="J72" s="131"/>
      <c r="K72" s="132"/>
    </row>
    <row r="73" spans="2:11">
      <c r="B73" s="20">
        <v>5</v>
      </c>
      <c r="C73" s="125"/>
      <c r="D73" s="121"/>
      <c r="E73" s="125" t="b">
        <v>1</v>
      </c>
      <c r="F73" s="126"/>
      <c r="G73" s="44"/>
      <c r="H73" s="126"/>
      <c r="I73" s="44"/>
      <c r="J73" s="131" t="str">
        <f t="shared" ref="J73:J78" si="6">DB_LargeWhiteSpace&amp;INDEX(DB_arrayDash4Names,$B73)&amp; DB_WhiteSpace &amp; INDEX(DB_arrayDash4Values,$B73)&amp; IF(H73="","",DB_SubWhiteSpace &amp; I73)</f>
        <v xml:space="preserve">    </v>
      </c>
      <c r="K73" s="132" t="str">
        <f t="shared" ref="K73:K78" si="7">IF(E73,J73,"")</f>
        <v xml:space="preserve">    </v>
      </c>
    </row>
    <row r="74" spans="2:11">
      <c r="B74" s="20">
        <v>6</v>
      </c>
      <c r="C74" s="125"/>
      <c r="D74" s="121"/>
      <c r="E74" s="125" t="b">
        <v>1</v>
      </c>
      <c r="F74" s="126"/>
      <c r="G74" s="44"/>
      <c r="H74" s="126"/>
      <c r="I74" s="44"/>
      <c r="J74" s="131" t="str">
        <f t="shared" si="6"/>
        <v xml:space="preserve">    </v>
      </c>
      <c r="K74" s="132" t="str">
        <f t="shared" si="7"/>
        <v xml:space="preserve">    </v>
      </c>
    </row>
    <row r="75" spans="2:11">
      <c r="B75" s="20">
        <v>7</v>
      </c>
      <c r="C75" s="125"/>
      <c r="D75" s="121"/>
      <c r="E75" s="125" t="b">
        <v>1</v>
      </c>
      <c r="F75" s="126"/>
      <c r="G75" s="44"/>
      <c r="H75" s="126"/>
      <c r="I75" s="44"/>
      <c r="J75" s="131" t="str">
        <f t="shared" si="6"/>
        <v xml:space="preserve">    </v>
      </c>
      <c r="K75" s="132" t="str">
        <f t="shared" si="7"/>
        <v xml:space="preserve">    </v>
      </c>
    </row>
    <row r="76" spans="2:11">
      <c r="B76" s="20">
        <v>8</v>
      </c>
      <c r="C76" s="125"/>
      <c r="D76" s="121"/>
      <c r="E76" s="125" t="b">
        <v>1</v>
      </c>
      <c r="F76" s="126"/>
      <c r="G76" s="44"/>
      <c r="H76" s="126"/>
      <c r="I76" s="44"/>
      <c r="J76" s="131" t="str">
        <f t="shared" si="6"/>
        <v xml:space="preserve">    </v>
      </c>
      <c r="K76" s="132" t="str">
        <f t="shared" si="7"/>
        <v xml:space="preserve">    </v>
      </c>
    </row>
    <row r="77" spans="2:11">
      <c r="B77" s="20">
        <v>9</v>
      </c>
      <c r="C77" s="125"/>
      <c r="D77" s="121"/>
      <c r="E77" s="125" t="b">
        <v>1</v>
      </c>
      <c r="F77" s="126"/>
      <c r="G77" s="44"/>
      <c r="H77" s="126"/>
      <c r="I77" s="44"/>
      <c r="J77" s="131" t="str">
        <f t="shared" si="6"/>
        <v xml:space="preserve">    </v>
      </c>
      <c r="K77" s="132" t="str">
        <f t="shared" si="7"/>
        <v xml:space="preserve">    </v>
      </c>
    </row>
    <row r="78" spans="2:11">
      <c r="B78" s="20">
        <v>10</v>
      </c>
      <c r="C78" s="127"/>
      <c r="D78" s="121"/>
      <c r="E78" s="127" t="b">
        <v>1</v>
      </c>
      <c r="F78" s="128"/>
      <c r="G78" s="45"/>
      <c r="H78" s="128"/>
      <c r="I78" s="45"/>
      <c r="J78" s="133" t="str">
        <f t="shared" si="6"/>
        <v xml:space="preserve">    </v>
      </c>
      <c r="K78" s="134" t="str">
        <f t="shared" si="7"/>
        <v xml:space="preserve">    </v>
      </c>
    </row>
    <row r="79" spans="2:11">
      <c r="C79" s="22" t="s">
        <v>472</v>
      </c>
      <c r="E79" s="22"/>
      <c r="G79" s="22" t="s">
        <v>473</v>
      </c>
    </row>
    <row r="83" spans="1:6" s="40" customFormat="1">
      <c r="A83" s="39" t="s">
        <v>119</v>
      </c>
    </row>
    <row r="85" spans="1:6">
      <c r="C85" s="20" t="s">
        <v>137</v>
      </c>
      <c r="E85" s="27" t="s">
        <v>2982</v>
      </c>
      <c r="F85" s="22" t="s">
        <v>138</v>
      </c>
    </row>
    <row r="86" spans="1:6">
      <c r="C86" s="20" t="s">
        <v>139</v>
      </c>
      <c r="E86" s="27" t="s">
        <v>3201</v>
      </c>
      <c r="F86" s="22" t="s">
        <v>140</v>
      </c>
    </row>
    <row r="87" spans="1:6">
      <c r="C87" s="20" t="s">
        <v>141</v>
      </c>
      <c r="E87" s="27" t="s">
        <v>3201</v>
      </c>
      <c r="F87" s="22" t="s">
        <v>142</v>
      </c>
    </row>
  </sheetData>
  <dataValidations disablePrompts="1" count="1">
    <dataValidation type="list" allowBlank="1" showInputMessage="1" showErrorMessage="1" sqref="E40:E49 E69:E78 E26:E35 E54:E63">
      <formula1>"True,False"</formula1>
    </dataValidation>
  </dataValidation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FF00"/>
  </sheetPr>
  <dimension ref="A1:Q26"/>
  <sheetViews>
    <sheetView workbookViewId="0"/>
  </sheetViews>
  <sheetFormatPr defaultColWidth="15.26953125" defaultRowHeight="12.75" customHeight="1"/>
  <cols>
    <col min="1" max="2" width="2.36328125" style="370" customWidth="1"/>
    <col min="3" max="3" width="2.7265625" style="370" customWidth="1"/>
    <col min="4" max="4" width="28.90625" style="370" customWidth="1"/>
    <col min="5" max="11" width="14.81640625" style="370" customWidth="1"/>
    <col min="12" max="16384" width="15.26953125" style="370"/>
  </cols>
  <sheetData>
    <row r="1" spans="1:11" s="395" customFormat="1" ht="13.8">
      <c r="A1" s="395" t="s">
        <v>866</v>
      </c>
      <c r="E1" s="396"/>
      <c r="F1" s="396"/>
      <c r="G1" s="396"/>
      <c r="H1" s="396"/>
      <c r="I1" s="396"/>
    </row>
    <row r="2" spans="1:11" s="367" customFormat="1" ht="12.75" customHeight="1">
      <c r="A2" s="368"/>
      <c r="B2" s="368"/>
      <c r="C2" s="368"/>
      <c r="D2" s="394"/>
      <c r="E2" s="368"/>
      <c r="F2" s="394"/>
      <c r="G2" s="368"/>
      <c r="H2" s="368"/>
      <c r="I2" s="368"/>
      <c r="J2" s="368"/>
      <c r="K2" s="368"/>
    </row>
    <row r="3" spans="1:11" s="367" customFormat="1" ht="16.8">
      <c r="A3" s="368"/>
      <c r="B3" s="368"/>
      <c r="C3" s="368"/>
      <c r="D3" s="368" t="s">
        <v>865</v>
      </c>
      <c r="E3" s="183" t="s">
        <v>382</v>
      </c>
      <c r="F3" s="369"/>
      <c r="G3" s="368"/>
      <c r="H3" s="368"/>
      <c r="I3" s="368"/>
      <c r="J3" s="368"/>
      <c r="K3" s="368"/>
    </row>
    <row r="4" spans="1:11" s="385" customFormat="1" ht="22.5" customHeight="1">
      <c r="A4" s="372"/>
      <c r="B4" s="393"/>
      <c r="C4" s="372"/>
      <c r="D4" s="371"/>
      <c r="E4" s="372"/>
      <c r="F4" s="372"/>
      <c r="G4" s="372"/>
      <c r="H4" s="372"/>
      <c r="I4" s="372"/>
      <c r="J4" s="372"/>
      <c r="K4" s="372"/>
    </row>
    <row r="5" spans="1:11" s="382" customFormat="1" ht="13.8">
      <c r="B5" s="384" t="s">
        <v>356</v>
      </c>
      <c r="E5" s="383"/>
      <c r="F5" s="383"/>
      <c r="G5" s="383"/>
      <c r="H5" s="383"/>
      <c r="I5" s="383"/>
    </row>
    <row r="6" spans="1:11" s="385" customFormat="1" ht="13.8">
      <c r="A6" s="372"/>
      <c r="B6" s="372"/>
      <c r="C6" s="372"/>
      <c r="D6" s="372"/>
      <c r="E6" s="372"/>
      <c r="F6" s="372"/>
      <c r="G6" s="372"/>
      <c r="H6" s="372"/>
      <c r="I6" s="372"/>
      <c r="J6" s="372"/>
      <c r="K6" s="372"/>
    </row>
    <row r="7" spans="1:11" s="385" customFormat="1" ht="13.8">
      <c r="A7" s="372"/>
      <c r="B7" s="372"/>
      <c r="C7" s="372"/>
      <c r="D7" s="393" t="s">
        <v>383</v>
      </c>
      <c r="E7" s="393"/>
      <c r="F7" s="372"/>
      <c r="G7" s="372"/>
      <c r="H7" s="372"/>
      <c r="I7" s="372"/>
      <c r="J7" s="372"/>
      <c r="K7" s="372"/>
    </row>
    <row r="8" spans="1:11" s="385" customFormat="1" ht="13.8">
      <c r="A8" s="372"/>
      <c r="B8" s="372"/>
      <c r="C8" s="372"/>
      <c r="D8" s="392"/>
      <c r="E8" s="387" t="s">
        <v>385</v>
      </c>
      <c r="F8" s="372"/>
      <c r="G8" s="372"/>
      <c r="H8" s="372"/>
      <c r="I8" s="391" t="s">
        <v>384</v>
      </c>
      <c r="J8" s="372"/>
      <c r="K8" s="372"/>
    </row>
    <row r="9" spans="1:11" s="385" customFormat="1" ht="13.8">
      <c r="A9" s="372"/>
      <c r="B9" s="372"/>
      <c r="C9" s="372"/>
      <c r="D9" s="390"/>
      <c r="E9" s="387" t="s">
        <v>354</v>
      </c>
      <c r="F9" s="372"/>
      <c r="G9" s="372"/>
      <c r="H9" s="372"/>
      <c r="I9" s="389"/>
      <c r="J9" s="387" t="s">
        <v>386</v>
      </c>
      <c r="K9" s="372"/>
    </row>
    <row r="10" spans="1:11" s="385" customFormat="1" ht="13.8">
      <c r="A10" s="372"/>
      <c r="B10" s="372"/>
      <c r="C10" s="372"/>
      <c r="D10" s="388"/>
      <c r="E10" s="387" t="s">
        <v>387</v>
      </c>
      <c r="F10" s="372"/>
      <c r="G10" s="372"/>
      <c r="H10" s="372"/>
      <c r="I10" s="386"/>
      <c r="J10" s="372"/>
      <c r="K10" s="372"/>
    </row>
    <row r="11" spans="1:11" ht="16.8">
      <c r="A11" s="372"/>
      <c r="B11" s="372"/>
      <c r="C11" s="372"/>
      <c r="D11" s="372"/>
      <c r="E11" s="373"/>
      <c r="F11" s="372"/>
      <c r="G11" s="372"/>
      <c r="H11" s="372"/>
      <c r="I11" s="373"/>
      <c r="J11" s="372"/>
      <c r="K11" s="372"/>
    </row>
    <row r="12" spans="1:11" s="382" customFormat="1" ht="13.8">
      <c r="B12" s="384" t="s">
        <v>113</v>
      </c>
      <c r="E12" s="383"/>
      <c r="F12" s="383"/>
      <c r="G12" s="383"/>
      <c r="H12" s="383"/>
      <c r="I12" s="383"/>
    </row>
    <row r="13" spans="1:11" ht="16.8">
      <c r="A13" s="372"/>
      <c r="B13" s="372"/>
      <c r="C13" s="372"/>
      <c r="D13" s="372"/>
      <c r="E13" s="373"/>
      <c r="F13" s="373"/>
      <c r="G13" s="373"/>
      <c r="H13" s="373"/>
      <c r="I13" s="373"/>
      <c r="J13" s="372"/>
      <c r="K13" s="372"/>
    </row>
    <row r="14" spans="1:11" ht="16.8">
      <c r="A14" s="372"/>
      <c r="B14" s="372"/>
      <c r="C14" s="381"/>
      <c r="D14" s="372" t="s">
        <v>864</v>
      </c>
      <c r="E14" s="380" t="s">
        <v>863</v>
      </c>
      <c r="F14" s="374" t="s">
        <v>862</v>
      </c>
      <c r="G14" s="379"/>
      <c r="H14" s="378" t="s">
        <v>861</v>
      </c>
      <c r="I14" s="373"/>
      <c r="J14" s="372"/>
      <c r="K14" s="372"/>
    </row>
    <row r="15" spans="1:11" ht="4.5" customHeight="1">
      <c r="A15" s="372"/>
      <c r="B15" s="372"/>
      <c r="C15" s="372"/>
      <c r="D15" s="372"/>
      <c r="E15" s="373"/>
      <c r="F15" s="374"/>
      <c r="G15" s="373"/>
      <c r="H15" s="373"/>
      <c r="I15" s="373"/>
      <c r="J15" s="372"/>
      <c r="K15" s="372"/>
    </row>
    <row r="16" spans="1:11" ht="16.8">
      <c r="A16" s="372"/>
      <c r="B16" s="372"/>
      <c r="C16" s="372"/>
      <c r="D16" s="372" t="s">
        <v>844</v>
      </c>
      <c r="E16" s="380">
        <v>2</v>
      </c>
      <c r="F16" s="374" t="s">
        <v>860</v>
      </c>
      <c r="G16" s="379"/>
      <c r="H16" s="378" t="s">
        <v>859</v>
      </c>
      <c r="I16" s="373"/>
      <c r="J16" s="372"/>
      <c r="K16" s="372"/>
    </row>
    <row r="17" spans="1:17" ht="4.5" customHeight="1">
      <c r="A17" s="372"/>
      <c r="B17" s="372"/>
      <c r="C17" s="372"/>
      <c r="D17" s="372"/>
      <c r="E17" s="373"/>
      <c r="F17" s="374"/>
      <c r="G17" s="373"/>
      <c r="H17" s="373"/>
      <c r="I17" s="373"/>
      <c r="J17" s="372"/>
      <c r="K17" s="372"/>
    </row>
    <row r="18" spans="1:17" ht="16.8">
      <c r="A18" s="372"/>
      <c r="B18" s="372"/>
      <c r="C18" s="372"/>
      <c r="D18" s="372" t="s">
        <v>843</v>
      </c>
      <c r="E18" s="377">
        <f>100%/E16</f>
        <v>0.5</v>
      </c>
      <c r="F18" s="374" t="s">
        <v>858</v>
      </c>
      <c r="G18" s="373"/>
      <c r="H18" s="373"/>
      <c r="I18" s="373"/>
      <c r="J18" s="372"/>
      <c r="K18" s="372"/>
    </row>
    <row r="19" spans="1:17" ht="4.5" customHeight="1">
      <c r="A19" s="372"/>
      <c r="B19" s="372"/>
      <c r="C19" s="372"/>
      <c r="D19" s="372"/>
      <c r="E19" s="373"/>
      <c r="F19" s="374"/>
      <c r="G19" s="373"/>
      <c r="H19" s="373"/>
      <c r="I19" s="373"/>
      <c r="J19" s="372"/>
      <c r="K19" s="372"/>
    </row>
    <row r="20" spans="1:17" ht="16.8">
      <c r="A20" s="372"/>
      <c r="B20" s="372"/>
      <c r="C20" s="372"/>
      <c r="D20" s="372" t="s">
        <v>839</v>
      </c>
      <c r="E20" s="377">
        <f>100%-FinDefRecogRate</f>
        <v>0.5</v>
      </c>
      <c r="F20" s="374" t="s">
        <v>857</v>
      </c>
      <c r="G20" s="373"/>
      <c r="H20" s="373"/>
      <c r="I20" s="373"/>
      <c r="J20" s="372"/>
      <c r="K20" s="372"/>
    </row>
    <row r="22" spans="1:17" ht="12.75" customHeight="1">
      <c r="E22" s="376" t="s">
        <v>7</v>
      </c>
      <c r="F22" s="376" t="s">
        <v>8</v>
      </c>
      <c r="G22" s="376" t="s">
        <v>9</v>
      </c>
      <c r="H22" s="376" t="s">
        <v>10</v>
      </c>
      <c r="I22" s="376" t="s">
        <v>11</v>
      </c>
      <c r="J22" s="376" t="s">
        <v>744</v>
      </c>
      <c r="K22" s="376" t="s">
        <v>745</v>
      </c>
      <c r="L22" s="376" t="s">
        <v>746</v>
      </c>
      <c r="M22" s="376" t="s">
        <v>747</v>
      </c>
      <c r="N22" s="376" t="s">
        <v>748</v>
      </c>
      <c r="O22" s="376" t="s">
        <v>749</v>
      </c>
    </row>
    <row r="23" spans="1:17" ht="4.5" customHeight="1">
      <c r="A23" s="372"/>
      <c r="B23" s="372"/>
      <c r="C23" s="372"/>
      <c r="D23" s="372"/>
      <c r="E23" s="373"/>
      <c r="F23" s="374"/>
      <c r="G23" s="373"/>
      <c r="H23" s="373"/>
      <c r="I23" s="373"/>
      <c r="J23" s="372"/>
      <c r="K23" s="372"/>
    </row>
    <row r="24" spans="1:17" ht="16.8">
      <c r="A24" s="372"/>
      <c r="B24" s="372"/>
      <c r="C24" s="372"/>
      <c r="D24" s="372" t="s">
        <v>856</v>
      </c>
      <c r="E24" s="375">
        <v>0.2</v>
      </c>
      <c r="F24" s="375">
        <v>0.2</v>
      </c>
      <c r="G24" s="375">
        <v>0.2</v>
      </c>
      <c r="H24" s="375">
        <v>0.2</v>
      </c>
      <c r="I24" s="375">
        <v>0.2</v>
      </c>
      <c r="J24" s="375">
        <v>0.2</v>
      </c>
      <c r="K24" s="375">
        <v>0.2</v>
      </c>
      <c r="L24" s="375">
        <v>0.2</v>
      </c>
      <c r="M24" s="375">
        <v>0.2</v>
      </c>
      <c r="N24" s="375">
        <v>0.2</v>
      </c>
      <c r="O24" s="375">
        <v>0.2</v>
      </c>
      <c r="P24" s="372" t="s">
        <v>855</v>
      </c>
      <c r="Q24" s="371"/>
    </row>
    <row r="25" spans="1:17" ht="4.5" customHeight="1">
      <c r="A25" s="372"/>
      <c r="B25" s="372"/>
      <c r="C25" s="372"/>
      <c r="D25" s="372"/>
      <c r="E25" s="373"/>
      <c r="F25" s="374"/>
      <c r="G25" s="373"/>
      <c r="H25" s="373"/>
      <c r="I25" s="373"/>
      <c r="J25" s="372"/>
      <c r="K25" s="372"/>
    </row>
    <row r="26" spans="1:17" ht="12.75" customHeight="1">
      <c r="D26" s="371" t="s">
        <v>853</v>
      </c>
    </row>
  </sheetData>
  <dataValidations count="2">
    <dataValidation type="list" allowBlank="1" showInputMessage="1" showErrorMessage="1" sqref="E14">
      <formula1>"Billings, Bookings"</formula1>
    </dataValidation>
    <dataValidation type="list" errorStyle="warning" allowBlank="1" showDropDown="1" showInputMessage="1" showErrorMessage="1" errorTitle="Contract Length" error="A 2 round length of contract (50% deferred, 50% recognized in-round) is highly recommended due to:_x000a__x000a_-3 round simulations are not conducive to contract lengths &gt;2_x000a__x000a_-Contract lengths &gt; 2 will require additional balancing" sqref="E16">
      <formula1>"2"</formula1>
    </dataValidation>
  </dataValidations>
  <hyperlinks>
    <hyperlink ref="E3" r:id="rId1"/>
  </hyperlink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FFFF00"/>
  </sheetPr>
  <dimension ref="A1:AH306"/>
  <sheetViews>
    <sheetView topLeftCell="B261" workbookViewId="0">
      <selection activeCell="C295" sqref="C295"/>
    </sheetView>
  </sheetViews>
  <sheetFormatPr defaultColWidth="8.81640625" defaultRowHeight="12.6"/>
  <cols>
    <col min="1" max="1" width="7.1796875" style="738" customWidth="1"/>
    <col min="2" max="2" width="24" style="738" customWidth="1"/>
    <col min="3" max="3" width="11.08984375" style="738" customWidth="1"/>
    <col min="4" max="4" width="8.81640625" style="738" customWidth="1"/>
    <col min="5" max="5" width="8.81640625" style="738"/>
    <col min="6" max="6" width="9.7265625" style="738" customWidth="1"/>
    <col min="7" max="7" width="8.81640625" style="738"/>
    <col min="8" max="8" width="10.08984375" style="738" customWidth="1"/>
    <col min="9" max="17" width="8.81640625" style="738"/>
    <col min="18" max="18" width="8.90625" style="738" customWidth="1"/>
    <col min="19" max="20" width="8.81640625" style="738"/>
    <col min="21" max="32" width="8.81640625" style="738" customWidth="1"/>
    <col min="33" max="16384" width="8.81640625" style="738"/>
  </cols>
  <sheetData>
    <row r="1" spans="1:32" s="11" customFormat="1" ht="13.8">
      <c r="A1" s="804" t="s">
        <v>2352</v>
      </c>
      <c r="B1" s="11" t="s">
        <v>2351</v>
      </c>
      <c r="E1" s="803"/>
      <c r="F1" s="802"/>
      <c r="G1" s="802"/>
      <c r="H1" s="15"/>
      <c r="I1" s="15"/>
    </row>
    <row r="2" spans="1:32" s="800" customFormat="1" ht="12.75" customHeight="1">
      <c r="D2" s="801"/>
      <c r="F2" s="801"/>
    </row>
    <row r="3" spans="1:32" s="800" customFormat="1" ht="13.8">
      <c r="B3" s="800" t="s">
        <v>865</v>
      </c>
      <c r="E3" s="183" t="s">
        <v>382</v>
      </c>
      <c r="F3" s="182"/>
    </row>
    <row r="5" spans="1:32" s="16" customFormat="1" ht="13.8">
      <c r="B5" s="650" t="s">
        <v>356</v>
      </c>
      <c r="E5" s="17"/>
      <c r="F5" s="17"/>
      <c r="G5" s="17"/>
      <c r="H5" s="17"/>
      <c r="I5" s="17"/>
    </row>
    <row r="6" spans="1:32" s="644" customFormat="1" ht="13.8"/>
    <row r="7" spans="1:32" s="644" customFormat="1" ht="13.8">
      <c r="B7" s="28" t="s">
        <v>383</v>
      </c>
    </row>
    <row r="8" spans="1:32" s="644" customFormat="1" ht="13.8">
      <c r="B8" s="648"/>
      <c r="C8" s="645" t="s">
        <v>385</v>
      </c>
      <c r="G8" s="649" t="s">
        <v>384</v>
      </c>
    </row>
    <row r="9" spans="1:32" s="644" customFormat="1" ht="13.8">
      <c r="B9" s="646"/>
      <c r="C9" s="645" t="s">
        <v>2350</v>
      </c>
      <c r="G9" s="647"/>
      <c r="H9" s="645" t="s">
        <v>386</v>
      </c>
    </row>
    <row r="10" spans="1:32" s="644" customFormat="1" ht="13.8">
      <c r="B10" s="119"/>
      <c r="C10" s="645" t="s">
        <v>353</v>
      </c>
      <c r="I10" s="799"/>
    </row>
    <row r="11" spans="1:32" s="644" customFormat="1" ht="13.8">
      <c r="E11" s="787"/>
      <c r="I11" s="787"/>
    </row>
    <row r="12" spans="1:32" s="16" customFormat="1" ht="21" customHeight="1">
      <c r="B12" s="641" t="s">
        <v>113</v>
      </c>
      <c r="E12" s="17"/>
      <c r="F12" s="17"/>
      <c r="G12" s="17"/>
      <c r="H12" s="17"/>
      <c r="I12" s="17"/>
    </row>
    <row r="13" spans="1:32" s="644" customFormat="1" ht="13.8">
      <c r="B13" s="28"/>
      <c r="D13" s="786"/>
    </row>
    <row r="14" spans="1:32" s="16" customFormat="1" ht="14.25" customHeight="1">
      <c r="B14" s="650" t="s">
        <v>2349</v>
      </c>
      <c r="D14" s="10"/>
      <c r="E14" s="10"/>
      <c r="F14" s="10"/>
      <c r="G14" s="10"/>
      <c r="H14" s="10"/>
      <c r="I14" s="10"/>
      <c r="J14" s="10"/>
      <c r="K14" s="10"/>
      <c r="L14" s="10"/>
      <c r="M14" s="10"/>
      <c r="N14" s="10"/>
      <c r="O14" s="10"/>
    </row>
    <row r="15" spans="1:32" ht="13.8">
      <c r="B15" s="771"/>
      <c r="C15" s="771"/>
      <c r="D15" s="798"/>
      <c r="E15" s="771"/>
      <c r="F15" s="798"/>
      <c r="G15" s="771"/>
      <c r="H15" s="771"/>
      <c r="I15" s="771"/>
      <c r="J15" s="771"/>
      <c r="K15" s="771"/>
      <c r="L15" s="771"/>
      <c r="M15" s="771"/>
      <c r="N15" s="771"/>
      <c r="O15" s="771"/>
      <c r="P15" s="771"/>
      <c r="Q15" s="771"/>
      <c r="R15" s="771"/>
      <c r="S15" s="771"/>
    </row>
    <row r="16" spans="1:32" ht="13.8">
      <c r="A16" s="765"/>
      <c r="B16" s="782" t="s">
        <v>41</v>
      </c>
      <c r="C16" s="119">
        <f>xxRound</f>
        <v>1</v>
      </c>
      <c r="D16" s="782" t="s">
        <v>2348</v>
      </c>
      <c r="E16" s="782"/>
      <c r="F16" s="796" t="s">
        <v>970</v>
      </c>
      <c r="G16" s="782"/>
      <c r="H16" s="782"/>
      <c r="I16" s="782"/>
      <c r="J16" s="782"/>
      <c r="K16" s="782"/>
      <c r="L16" s="782"/>
      <c r="M16" s="782"/>
      <c r="N16" s="782"/>
      <c r="O16" s="782"/>
      <c r="P16" s="782"/>
      <c r="Q16" s="782"/>
      <c r="R16" s="782"/>
      <c r="S16" s="782"/>
      <c r="T16" s="765"/>
      <c r="U16" s="765"/>
      <c r="V16" s="765"/>
      <c r="W16" s="765"/>
      <c r="X16" s="765"/>
      <c r="Y16" s="765"/>
      <c r="Z16" s="765"/>
      <c r="AA16" s="765"/>
      <c r="AB16" s="765"/>
      <c r="AC16" s="765"/>
      <c r="AF16" s="765"/>
    </row>
    <row r="17" spans="1:34" ht="13.8">
      <c r="A17" s="765"/>
      <c r="B17" s="782" t="s">
        <v>2347</v>
      </c>
      <c r="C17" s="119">
        <f>xxSim0Tool1</f>
        <v>1</v>
      </c>
      <c r="D17" s="782" t="s">
        <v>2346</v>
      </c>
      <c r="E17" s="782"/>
      <c r="F17" s="796" t="s">
        <v>972</v>
      </c>
      <c r="G17" s="782"/>
      <c r="H17" s="782"/>
      <c r="I17" s="782"/>
      <c r="J17" s="782"/>
      <c r="K17" s="782"/>
      <c r="L17" s="782"/>
      <c r="M17" s="782"/>
      <c r="N17" s="782"/>
      <c r="O17" s="782"/>
      <c r="P17" s="782"/>
      <c r="Q17" s="782"/>
      <c r="R17" s="782"/>
      <c r="S17" s="782"/>
      <c r="T17" s="765"/>
      <c r="U17" s="765"/>
      <c r="V17" s="765"/>
      <c r="W17" s="765"/>
      <c r="X17" s="765"/>
      <c r="Y17" s="765"/>
      <c r="Z17" s="765"/>
      <c r="AA17" s="765"/>
      <c r="AB17" s="765"/>
      <c r="AC17" s="765"/>
      <c r="AF17" s="765"/>
    </row>
    <row r="18" spans="1:34" s="644" customFormat="1" ht="13.8">
      <c r="B18" s="28"/>
      <c r="D18" s="786"/>
    </row>
    <row r="19" spans="1:34" s="16" customFormat="1" ht="14.25" customHeight="1">
      <c r="B19" s="650" t="s">
        <v>2345</v>
      </c>
      <c r="D19" s="10"/>
      <c r="E19" s="10"/>
      <c r="F19" s="10"/>
      <c r="G19" s="10"/>
      <c r="H19" s="10"/>
      <c r="I19" s="10"/>
      <c r="J19" s="10"/>
      <c r="K19" s="10"/>
      <c r="L19" s="10"/>
      <c r="M19" s="10"/>
      <c r="N19" s="10"/>
      <c r="O19" s="10"/>
    </row>
    <row r="20" spans="1:34" s="644" customFormat="1" ht="13.8">
      <c r="B20" s="28"/>
      <c r="D20" s="786"/>
    </row>
    <row r="21" spans="1:34" s="644" customFormat="1" ht="13.8">
      <c r="B21" s="28" t="s">
        <v>2344</v>
      </c>
      <c r="D21" s="786"/>
    </row>
    <row r="22" spans="1:34" s="644" customFormat="1" ht="13.8">
      <c r="B22" s="644" t="s">
        <v>2343</v>
      </c>
      <c r="C22" s="1178"/>
      <c r="D22" s="644" t="s">
        <v>2342</v>
      </c>
      <c r="F22" s="796" t="s">
        <v>2341</v>
      </c>
    </row>
    <row r="23" spans="1:34" s="644" customFormat="1" ht="13.8">
      <c r="B23" s="644" t="s">
        <v>2340</v>
      </c>
      <c r="C23" s="1179"/>
      <c r="D23" s="644" t="s">
        <v>2339</v>
      </c>
      <c r="F23" s="796" t="s">
        <v>2338</v>
      </c>
    </row>
    <row r="24" spans="1:34" s="644" customFormat="1" ht="13.8">
      <c r="B24" s="644" t="s">
        <v>2337</v>
      </c>
      <c r="C24" s="1180"/>
      <c r="D24" s="644" t="s">
        <v>2336</v>
      </c>
      <c r="F24" s="796" t="s">
        <v>2335</v>
      </c>
    </row>
    <row r="25" spans="1:34" s="644" customFormat="1" ht="13.8">
      <c r="B25" s="644" t="s">
        <v>2334</v>
      </c>
      <c r="C25" s="797"/>
      <c r="D25" s="644" t="s">
        <v>2333</v>
      </c>
      <c r="F25" s="796" t="s">
        <v>2332</v>
      </c>
    </row>
    <row r="26" spans="1:34" s="644" customFormat="1" ht="13.8">
      <c r="B26" s="28"/>
      <c r="D26" s="786"/>
    </row>
    <row r="27" spans="1:34" s="644" customFormat="1" ht="13.8">
      <c r="B27" s="28" t="s">
        <v>2331</v>
      </c>
      <c r="D27" s="786"/>
    </row>
    <row r="28" spans="1:34" s="644" customFormat="1" ht="13.8">
      <c r="B28" s="771" t="s">
        <v>2330</v>
      </c>
      <c r="C28" s="648" t="b">
        <v>1</v>
      </c>
      <c r="D28" s="771" t="s">
        <v>2329</v>
      </c>
      <c r="F28" s="796" t="s">
        <v>2328</v>
      </c>
    </row>
    <row r="29" spans="1:34" s="644" customFormat="1" ht="13.8">
      <c r="B29" s="28"/>
      <c r="D29" s="786"/>
    </row>
    <row r="30" spans="1:34" s="16" customFormat="1" ht="14.25" customHeight="1">
      <c r="B30" s="650" t="s">
        <v>2327</v>
      </c>
      <c r="D30" s="10"/>
      <c r="E30" s="10"/>
      <c r="F30" s="10"/>
      <c r="G30" s="10"/>
      <c r="H30" s="10"/>
      <c r="I30" s="10"/>
      <c r="J30" s="10"/>
      <c r="K30" s="10"/>
      <c r="L30" s="10"/>
      <c r="M30" s="10"/>
      <c r="N30" s="10"/>
      <c r="O30" s="10"/>
    </row>
    <row r="31" spans="1:34" ht="14.4" thickBot="1">
      <c r="B31" s="771"/>
      <c r="C31" s="771"/>
      <c r="D31" s="771"/>
      <c r="E31" s="771"/>
      <c r="F31" s="771"/>
      <c r="G31" s="771"/>
      <c r="H31" s="771"/>
      <c r="I31" s="771"/>
      <c r="J31" s="771"/>
      <c r="K31" s="771"/>
      <c r="L31" s="771"/>
      <c r="M31" s="771"/>
      <c r="N31" s="771"/>
      <c r="O31" s="771"/>
      <c r="P31" s="771"/>
      <c r="Q31" s="771"/>
      <c r="R31" s="771"/>
      <c r="S31" s="771"/>
    </row>
    <row r="32" spans="1:34" ht="13.8">
      <c r="A32" s="765"/>
      <c r="B32" s="1287" t="s">
        <v>2326</v>
      </c>
      <c r="C32" s="1286"/>
      <c r="D32" s="1286"/>
      <c r="E32" s="1286"/>
      <c r="F32" s="1286"/>
      <c r="G32" s="1286"/>
      <c r="H32" s="1286"/>
      <c r="I32" s="1286" t="s">
        <v>2325</v>
      </c>
      <c r="J32" s="1286"/>
      <c r="K32" s="1286"/>
      <c r="L32" s="1286"/>
      <c r="M32" s="1286"/>
      <c r="N32" s="1286"/>
      <c r="O32" s="1286"/>
      <c r="P32" s="1286"/>
      <c r="Q32" s="1286"/>
      <c r="R32" s="1286"/>
      <c r="S32" s="1286"/>
      <c r="T32" s="1286"/>
      <c r="U32" s="1286" t="s">
        <v>2324</v>
      </c>
      <c r="V32" s="1286"/>
      <c r="W32" s="1286"/>
      <c r="X32" s="1286"/>
      <c r="Y32" s="1286"/>
      <c r="Z32" s="1286"/>
      <c r="AA32" s="1286"/>
      <c r="AB32" s="1286"/>
      <c r="AC32" s="1286"/>
      <c r="AD32" s="1286"/>
      <c r="AE32" s="1286"/>
      <c r="AF32" s="1182"/>
      <c r="AG32" s="1190"/>
      <c r="AH32" s="1191"/>
    </row>
    <row r="33" spans="1:34" s="794" customFormat="1" ht="46.5" customHeight="1">
      <c r="A33" s="795"/>
      <c r="B33" s="1192" t="s">
        <v>2323</v>
      </c>
      <c r="C33" s="1183" t="s">
        <v>2322</v>
      </c>
      <c r="D33" s="1183" t="s">
        <v>2321</v>
      </c>
      <c r="E33" s="1183" t="s">
        <v>2320</v>
      </c>
      <c r="F33" s="1183" t="s">
        <v>41</v>
      </c>
      <c r="G33" s="1183" t="s">
        <v>3089</v>
      </c>
      <c r="H33" s="1183" t="s">
        <v>352</v>
      </c>
      <c r="I33" s="1183" t="s">
        <v>2319</v>
      </c>
      <c r="J33" s="1183" t="s">
        <v>2318</v>
      </c>
      <c r="K33" s="1183" t="s">
        <v>2317</v>
      </c>
      <c r="L33" s="1183" t="s">
        <v>2316</v>
      </c>
      <c r="M33" s="1183" t="s">
        <v>2315</v>
      </c>
      <c r="N33" s="1183" t="s">
        <v>2314</v>
      </c>
      <c r="O33" s="1183" t="s">
        <v>2313</v>
      </c>
      <c r="P33" s="1183" t="s">
        <v>2312</v>
      </c>
      <c r="Q33" s="1183" t="s">
        <v>2311</v>
      </c>
      <c r="R33" s="1183" t="s">
        <v>2310</v>
      </c>
      <c r="S33" s="1183" t="s">
        <v>2309</v>
      </c>
      <c r="T33" s="1183" t="s">
        <v>2308</v>
      </c>
      <c r="U33" s="1183" t="s">
        <v>2307</v>
      </c>
      <c r="V33" s="1183" t="s">
        <v>2306</v>
      </c>
      <c r="W33" s="1183" t="s">
        <v>2305</v>
      </c>
      <c r="X33" s="1183" t="s">
        <v>2304</v>
      </c>
      <c r="Y33" s="1183" t="s">
        <v>2303</v>
      </c>
      <c r="Z33" s="1183" t="s">
        <v>2302</v>
      </c>
      <c r="AA33" s="1183" t="s">
        <v>2301</v>
      </c>
      <c r="AB33" s="1183" t="s">
        <v>2300</v>
      </c>
      <c r="AC33" s="1183" t="s">
        <v>2299</v>
      </c>
      <c r="AD33" s="1183" t="s">
        <v>2298</v>
      </c>
      <c r="AE33" s="1183" t="s">
        <v>2297</v>
      </c>
      <c r="AF33" s="1183" t="s">
        <v>2296</v>
      </c>
      <c r="AG33" s="1183" t="s">
        <v>2817</v>
      </c>
      <c r="AH33" s="1193" t="s">
        <v>3014</v>
      </c>
    </row>
    <row r="34" spans="1:34" ht="15" customHeight="1">
      <c r="A34" s="765"/>
      <c r="B34" s="1194">
        <v>1</v>
      </c>
      <c r="C34" s="1184" t="b">
        <v>0</v>
      </c>
      <c r="D34" s="1189">
        <v>1.3888888888888888E-2</v>
      </c>
      <c r="E34" s="1185" t="s">
        <v>3090</v>
      </c>
      <c r="F34" s="1184">
        <v>1</v>
      </c>
      <c r="G34" s="1184" t="s">
        <v>2726</v>
      </c>
      <c r="H34" s="1184" t="s">
        <v>3091</v>
      </c>
      <c r="I34" s="1184" t="s">
        <v>3015</v>
      </c>
      <c r="J34" s="1184" t="s">
        <v>3022</v>
      </c>
      <c r="K34" s="1184"/>
      <c r="L34" s="1184"/>
      <c r="M34" s="1184" t="s">
        <v>3023</v>
      </c>
      <c r="N34" s="1184"/>
      <c r="O34" s="1184" t="s">
        <v>3024</v>
      </c>
      <c r="P34" s="1184"/>
      <c r="Q34" s="1184"/>
      <c r="R34" s="1184"/>
      <c r="S34" s="1184"/>
      <c r="T34" s="1184"/>
      <c r="U34" s="1187" t="b">
        <v>0</v>
      </c>
      <c r="V34" s="1186"/>
      <c r="W34" s="1186"/>
      <c r="X34" s="1187" t="b">
        <v>0</v>
      </c>
      <c r="Y34" s="1186" t="s">
        <v>2295</v>
      </c>
      <c r="Z34" s="1186"/>
      <c r="AA34" s="1187" t="b">
        <v>1</v>
      </c>
      <c r="AB34" s="1186" t="s">
        <v>2294</v>
      </c>
      <c r="AC34" s="1186"/>
      <c r="AD34" s="1187" t="b">
        <v>0</v>
      </c>
      <c r="AE34" s="1186"/>
      <c r="AF34" s="1186"/>
      <c r="AG34" s="1188" t="b">
        <v>0</v>
      </c>
      <c r="AH34" s="1195"/>
    </row>
    <row r="35" spans="1:34" ht="15" customHeight="1">
      <c r="A35" s="765"/>
      <c r="B35" s="1194">
        <v>2</v>
      </c>
      <c r="C35" s="1184" t="b">
        <v>0</v>
      </c>
      <c r="D35" s="1189">
        <v>2.7777777777777776E-2</v>
      </c>
      <c r="E35" s="1185" t="s">
        <v>3090</v>
      </c>
      <c r="F35" s="1184">
        <v>2</v>
      </c>
      <c r="G35" s="1184" t="s">
        <v>3031</v>
      </c>
      <c r="H35" s="1184" t="s">
        <v>3032</v>
      </c>
      <c r="I35" s="1184" t="s">
        <v>3025</v>
      </c>
      <c r="J35" s="1184" t="s">
        <v>3026</v>
      </c>
      <c r="K35" s="1184" t="s">
        <v>3027</v>
      </c>
      <c r="L35" s="1199"/>
      <c r="M35" s="1184" t="s">
        <v>3029</v>
      </c>
      <c r="N35" s="1184"/>
      <c r="O35" s="1184" t="s">
        <v>3028</v>
      </c>
      <c r="P35" s="1184"/>
      <c r="Q35" s="1184" t="s">
        <v>3030</v>
      </c>
      <c r="R35" s="1184"/>
      <c r="S35" s="1184"/>
      <c r="T35" s="1184"/>
      <c r="U35" s="1187" t="b">
        <v>0</v>
      </c>
      <c r="V35" s="1186"/>
      <c r="W35" s="1186"/>
      <c r="X35" s="1187" t="b">
        <v>0</v>
      </c>
      <c r="Y35" s="1186"/>
      <c r="Z35" s="1186"/>
      <c r="AA35" s="1187" t="b">
        <v>0</v>
      </c>
      <c r="AB35" s="1186"/>
      <c r="AC35" s="1186"/>
      <c r="AD35" s="1187" t="b">
        <v>0</v>
      </c>
      <c r="AE35" s="1186"/>
      <c r="AF35" s="1186"/>
      <c r="AG35" s="1188" t="b">
        <v>0</v>
      </c>
      <c r="AH35" s="1195"/>
    </row>
    <row r="36" spans="1:34" ht="15" customHeight="1">
      <c r="A36" s="765"/>
      <c r="B36" s="1194">
        <v>3</v>
      </c>
      <c r="C36" s="1184" t="b">
        <v>1</v>
      </c>
      <c r="D36" s="1189">
        <v>2.0833333333333332E-2</v>
      </c>
      <c r="E36" s="1185" t="s">
        <v>3092</v>
      </c>
      <c r="F36" s="1184">
        <v>2</v>
      </c>
      <c r="G36" s="1184" t="s">
        <v>2727</v>
      </c>
      <c r="H36" s="1184" t="s">
        <v>3033</v>
      </c>
      <c r="I36" s="1184"/>
      <c r="J36" s="1184"/>
      <c r="K36" s="1184"/>
      <c r="L36" s="1184"/>
      <c r="M36" s="1184"/>
      <c r="N36" s="1184"/>
      <c r="O36" s="1184"/>
      <c r="P36" s="1184"/>
      <c r="Q36" s="1184"/>
      <c r="R36" s="1184"/>
      <c r="S36" s="1184"/>
      <c r="T36" s="1184"/>
      <c r="U36" s="1187" t="b">
        <f>INDEX(obalCommercialPartnerEducation,xxIndexTeam)&gt;=6</f>
        <v>0</v>
      </c>
      <c r="V36" s="1186" t="s">
        <v>2992</v>
      </c>
      <c r="W36" s="1186"/>
      <c r="X36" s="1187" t="b">
        <f>INDEX(obalCommercialPartnerEducation,xxIndexTeam)&lt;6</f>
        <v>1</v>
      </c>
      <c r="Y36" s="1186" t="s">
        <v>3034</v>
      </c>
      <c r="Z36" s="1186"/>
      <c r="AA36" s="1187" t="b">
        <v>1</v>
      </c>
      <c r="AB36" s="1186"/>
      <c r="AC36" s="1186"/>
      <c r="AD36" s="1187" t="b">
        <v>1</v>
      </c>
      <c r="AE36" s="1186"/>
      <c r="AF36" s="1186"/>
      <c r="AG36" s="1188" t="b">
        <v>0</v>
      </c>
      <c r="AH36" s="1195"/>
    </row>
    <row r="37" spans="1:34" ht="15" customHeight="1">
      <c r="A37" s="765"/>
      <c r="B37" s="1194">
        <v>4</v>
      </c>
      <c r="C37" s="1184"/>
      <c r="D37" s="1189"/>
      <c r="E37" s="1185"/>
      <c r="F37" s="1184"/>
      <c r="G37" s="1184"/>
      <c r="H37" s="1184"/>
      <c r="I37" s="1184"/>
      <c r="J37" s="1184"/>
      <c r="K37" s="1184"/>
      <c r="L37" s="1184"/>
      <c r="M37" s="1184"/>
      <c r="N37" s="1184"/>
      <c r="O37" s="1184"/>
      <c r="P37" s="1184"/>
      <c r="Q37" s="1184"/>
      <c r="R37" s="1184"/>
      <c r="S37" s="1184"/>
      <c r="T37" s="1184"/>
      <c r="U37" s="1187" t="b">
        <v>0</v>
      </c>
      <c r="V37" s="1186"/>
      <c r="W37" s="1186"/>
      <c r="X37" s="1187" t="b">
        <v>0</v>
      </c>
      <c r="Y37" s="1186"/>
      <c r="Z37" s="1186"/>
      <c r="AA37" s="1187" t="b">
        <v>0</v>
      </c>
      <c r="AB37" s="1186"/>
      <c r="AC37" s="1186"/>
      <c r="AD37" s="1187" t="b">
        <v>0</v>
      </c>
      <c r="AE37" s="1186"/>
      <c r="AF37" s="1186"/>
      <c r="AG37" s="1188" t="b">
        <v>0</v>
      </c>
      <c r="AH37" s="1195"/>
    </row>
    <row r="38" spans="1:34" ht="15" customHeight="1">
      <c r="A38" s="765"/>
      <c r="B38" s="1194">
        <v>5</v>
      </c>
      <c r="C38" s="1184"/>
      <c r="D38" s="1189"/>
      <c r="E38" s="1185"/>
      <c r="F38" s="1184"/>
      <c r="G38" s="1184"/>
      <c r="H38" s="1184"/>
      <c r="I38" s="1184"/>
      <c r="J38" s="1184"/>
      <c r="K38" s="1184"/>
      <c r="L38" s="1199"/>
      <c r="M38" s="1184"/>
      <c r="N38" s="1184"/>
      <c r="O38" s="1184"/>
      <c r="P38" s="1184"/>
      <c r="Q38" s="1184"/>
      <c r="R38" s="1184"/>
      <c r="S38" s="1184"/>
      <c r="T38" s="1184"/>
      <c r="U38" s="1187" t="b">
        <v>1</v>
      </c>
      <c r="V38" s="1186"/>
      <c r="W38" s="1186"/>
      <c r="X38" s="1187" t="b">
        <v>0</v>
      </c>
      <c r="Y38" s="1186"/>
      <c r="Z38" s="1186"/>
      <c r="AA38" s="1187" t="b">
        <v>1</v>
      </c>
      <c r="AB38" s="1186"/>
      <c r="AC38" s="1186"/>
      <c r="AD38" s="1187" t="b">
        <v>1</v>
      </c>
      <c r="AE38" s="1186"/>
      <c r="AF38" s="1186"/>
      <c r="AG38" s="1188" t="b">
        <v>0</v>
      </c>
      <c r="AH38" s="1195"/>
    </row>
    <row r="39" spans="1:34" ht="15" customHeight="1">
      <c r="A39" s="765"/>
      <c r="B39" s="1194">
        <v>6</v>
      </c>
      <c r="C39" s="1184"/>
      <c r="D39" s="1189"/>
      <c r="E39" s="1185"/>
      <c r="F39" s="1184"/>
      <c r="G39" s="1184"/>
      <c r="H39" s="1184"/>
      <c r="I39" s="1184"/>
      <c r="J39" s="1184"/>
      <c r="K39" s="1184"/>
      <c r="L39" s="1199"/>
      <c r="M39" s="1184"/>
      <c r="N39" s="1184"/>
      <c r="O39" s="1184"/>
      <c r="P39" s="1184"/>
      <c r="Q39" s="1184"/>
      <c r="R39" s="1184"/>
      <c r="S39" s="1184"/>
      <c r="T39" s="1184"/>
      <c r="U39" s="1187" t="b">
        <v>0</v>
      </c>
      <c r="V39" s="1186"/>
      <c r="W39" s="1186"/>
      <c r="X39" s="1187" t="b">
        <v>0</v>
      </c>
      <c r="Y39" s="1186"/>
      <c r="Z39" s="1186"/>
      <c r="AA39" s="1187" t="b">
        <v>0</v>
      </c>
      <c r="AB39" s="1186"/>
      <c r="AC39" s="1186"/>
      <c r="AD39" s="1187" t="b">
        <v>0</v>
      </c>
      <c r="AE39" s="1186"/>
      <c r="AF39" s="1186"/>
      <c r="AG39" s="1188" t="b">
        <v>0</v>
      </c>
      <c r="AH39" s="1195"/>
    </row>
    <row r="40" spans="1:34" ht="15" customHeight="1">
      <c r="A40" s="765"/>
      <c r="B40" s="1194">
        <v>7</v>
      </c>
      <c r="C40" s="1184"/>
      <c r="D40" s="1189"/>
      <c r="E40" s="1185"/>
      <c r="F40" s="1184"/>
      <c r="G40" s="1184"/>
      <c r="H40" s="1184"/>
      <c r="I40" s="1184"/>
      <c r="J40" s="1184"/>
      <c r="K40" s="1184"/>
      <c r="L40" s="1184"/>
      <c r="M40" s="1184"/>
      <c r="N40" s="1184"/>
      <c r="O40" s="1184"/>
      <c r="P40" s="1184"/>
      <c r="Q40" s="1184"/>
      <c r="R40" s="1184"/>
      <c r="S40" s="1184"/>
      <c r="T40" s="1184"/>
      <c r="U40" s="1187" t="b">
        <v>1</v>
      </c>
      <c r="V40" s="1186"/>
      <c r="W40" s="1186"/>
      <c r="X40" s="1187" t="b">
        <v>1</v>
      </c>
      <c r="Y40" s="1186"/>
      <c r="Z40" s="1186"/>
      <c r="AA40" s="1187" t="b">
        <v>1</v>
      </c>
      <c r="AB40" s="1186"/>
      <c r="AC40" s="1186"/>
      <c r="AD40" s="1187" t="b">
        <v>1</v>
      </c>
      <c r="AE40" s="1186"/>
      <c r="AF40" s="1186"/>
      <c r="AG40" s="1188" t="b">
        <v>0</v>
      </c>
      <c r="AH40" s="1195"/>
    </row>
    <row r="41" spans="1:34" ht="15" customHeight="1">
      <c r="A41" s="765"/>
      <c r="B41" s="1194">
        <v>8</v>
      </c>
      <c r="C41" s="1184"/>
      <c r="D41" s="1189"/>
      <c r="E41" s="1185"/>
      <c r="F41" s="1184"/>
      <c r="G41" s="1184"/>
      <c r="H41" s="1184"/>
      <c r="I41" s="1184"/>
      <c r="J41" s="1184"/>
      <c r="K41" s="1184"/>
      <c r="L41" s="1184"/>
      <c r="M41" s="1184"/>
      <c r="N41" s="1184"/>
      <c r="O41" s="1184"/>
      <c r="P41" s="1184"/>
      <c r="Q41" s="1184"/>
      <c r="R41" s="1184"/>
      <c r="S41" s="1184"/>
      <c r="T41" s="1184"/>
      <c r="U41" s="1187"/>
      <c r="V41" s="1186" t="s">
        <v>2992</v>
      </c>
      <c r="W41" s="1186"/>
      <c r="X41" s="1187"/>
      <c r="Y41" s="1186" t="s">
        <v>3034</v>
      </c>
      <c r="Z41" s="1186"/>
      <c r="AA41" s="1187" t="b">
        <v>1</v>
      </c>
      <c r="AB41" s="1186"/>
      <c r="AC41" s="1186"/>
      <c r="AD41" s="1187" t="b">
        <v>1</v>
      </c>
      <c r="AE41" s="1186"/>
      <c r="AF41" s="1186"/>
      <c r="AG41" s="1188" t="b">
        <v>0</v>
      </c>
      <c r="AH41" s="1195"/>
    </row>
    <row r="42" spans="1:34" ht="15" customHeight="1">
      <c r="A42" s="765"/>
      <c r="B42" s="1194">
        <v>9</v>
      </c>
      <c r="C42" s="1184"/>
      <c r="D42" s="1189"/>
      <c r="E42" s="1185"/>
      <c r="F42" s="1184"/>
      <c r="G42" s="1184"/>
      <c r="H42" s="1184"/>
      <c r="I42" s="1184"/>
      <c r="J42" s="1184"/>
      <c r="K42" s="1184"/>
      <c r="L42" s="1184"/>
      <c r="M42" s="1184"/>
      <c r="N42" s="1184"/>
      <c r="O42" s="1184"/>
      <c r="P42" s="1184"/>
      <c r="Q42" s="1184"/>
      <c r="R42" s="1184"/>
      <c r="S42" s="1184"/>
      <c r="T42" s="1184"/>
      <c r="U42" s="1187"/>
      <c r="V42" s="1186"/>
      <c r="W42" s="1186"/>
      <c r="X42" s="1187"/>
      <c r="Y42" s="1186"/>
      <c r="Z42" s="1186"/>
      <c r="AA42" s="1187"/>
      <c r="AB42" s="1186"/>
      <c r="AC42" s="1186"/>
      <c r="AD42" s="1187"/>
      <c r="AE42" s="1186"/>
      <c r="AF42" s="1186"/>
      <c r="AG42" s="1188"/>
      <c r="AH42" s="1195"/>
    </row>
    <row r="43" spans="1:34" ht="15" customHeight="1">
      <c r="A43" s="765"/>
      <c r="B43" s="1194">
        <v>10</v>
      </c>
      <c r="C43" s="1184"/>
      <c r="D43" s="1189"/>
      <c r="E43" s="1185"/>
      <c r="F43" s="1184"/>
      <c r="G43" s="1184"/>
      <c r="H43" s="1184"/>
      <c r="I43" s="1184"/>
      <c r="J43" s="1184"/>
      <c r="K43" s="1184"/>
      <c r="L43" s="1184"/>
      <c r="M43" s="1184"/>
      <c r="N43" s="1184"/>
      <c r="O43" s="1184"/>
      <c r="P43" s="1184"/>
      <c r="Q43" s="1184"/>
      <c r="R43" s="1184"/>
      <c r="S43" s="1184"/>
      <c r="T43" s="1184"/>
      <c r="U43" s="1187"/>
      <c r="V43" s="1186"/>
      <c r="W43" s="1186"/>
      <c r="X43" s="1187"/>
      <c r="Y43" s="1186"/>
      <c r="Z43" s="1186"/>
      <c r="AA43" s="1187"/>
      <c r="AB43" s="1186"/>
      <c r="AC43" s="1186"/>
      <c r="AD43" s="1187"/>
      <c r="AE43" s="1186"/>
      <c r="AF43" s="1186"/>
      <c r="AG43" s="1188"/>
      <c r="AH43" s="1195"/>
    </row>
    <row r="44" spans="1:34" ht="15" customHeight="1">
      <c r="A44" s="765"/>
      <c r="B44" s="1194">
        <v>11</v>
      </c>
      <c r="C44" s="1184"/>
      <c r="D44" s="1189"/>
      <c r="E44" s="1185"/>
      <c r="F44" s="1184"/>
      <c r="G44" s="1184"/>
      <c r="H44" s="1184"/>
      <c r="I44" s="1184"/>
      <c r="J44" s="1184"/>
      <c r="K44" s="1184"/>
      <c r="L44" s="1184"/>
      <c r="M44" s="1184"/>
      <c r="N44" s="1184"/>
      <c r="O44" s="1184"/>
      <c r="P44" s="1184"/>
      <c r="Q44" s="1184"/>
      <c r="R44" s="1184"/>
      <c r="S44" s="1184"/>
      <c r="T44" s="1184"/>
      <c r="U44" s="1187"/>
      <c r="V44" s="1186"/>
      <c r="W44" s="1186"/>
      <c r="X44" s="1187"/>
      <c r="Y44" s="1186"/>
      <c r="Z44" s="1186"/>
      <c r="AA44" s="1187"/>
      <c r="AB44" s="1186"/>
      <c r="AC44" s="1186"/>
      <c r="AD44" s="1187"/>
      <c r="AE44" s="1186"/>
      <c r="AF44" s="1186"/>
      <c r="AG44" s="1188"/>
      <c r="AH44" s="1195"/>
    </row>
    <row r="45" spans="1:34" ht="15" customHeight="1">
      <c r="A45" s="765"/>
      <c r="B45" s="1194">
        <v>12</v>
      </c>
      <c r="C45" s="1184"/>
      <c r="D45" s="1189"/>
      <c r="E45" s="1185"/>
      <c r="F45" s="1184"/>
      <c r="G45" s="1184"/>
      <c r="H45" s="1184"/>
      <c r="I45" s="1184"/>
      <c r="J45" s="1184"/>
      <c r="K45" s="1184"/>
      <c r="L45" s="1184"/>
      <c r="M45" s="1184"/>
      <c r="N45" s="1184"/>
      <c r="O45" s="1184"/>
      <c r="P45" s="1184"/>
      <c r="Q45" s="1184"/>
      <c r="R45" s="1184"/>
      <c r="S45" s="1184"/>
      <c r="T45" s="1184"/>
      <c r="U45" s="1187" t="b">
        <v>1</v>
      </c>
      <c r="V45" s="1186" t="s">
        <v>3093</v>
      </c>
      <c r="W45" s="1186"/>
      <c r="X45" s="1187" t="b">
        <v>0</v>
      </c>
      <c r="Y45" s="1186"/>
      <c r="Z45" s="1186"/>
      <c r="AA45" s="1187" t="b">
        <v>0</v>
      </c>
      <c r="AB45" s="1186"/>
      <c r="AC45" s="1186"/>
      <c r="AD45" s="1187" t="b">
        <v>0</v>
      </c>
      <c r="AE45" s="1186"/>
      <c r="AF45" s="1186"/>
      <c r="AG45" s="1188" t="b">
        <v>0</v>
      </c>
      <c r="AH45" s="1195"/>
    </row>
    <row r="46" spans="1:34" ht="15" customHeight="1">
      <c r="A46" s="765"/>
      <c r="B46" s="1194">
        <v>13</v>
      </c>
      <c r="C46" s="1184"/>
      <c r="D46" s="1189"/>
      <c r="E46" s="1185"/>
      <c r="F46" s="1184"/>
      <c r="G46" s="1184"/>
      <c r="H46" s="1184"/>
      <c r="I46" s="1184"/>
      <c r="J46" s="1184"/>
      <c r="K46" s="1184"/>
      <c r="L46" s="1184"/>
      <c r="M46" s="1184"/>
      <c r="N46" s="1184"/>
      <c r="O46" s="1184"/>
      <c r="P46" s="1184"/>
      <c r="Q46" s="1184"/>
      <c r="R46" s="1184"/>
      <c r="S46" s="1184"/>
      <c r="T46" s="1184"/>
      <c r="U46" s="1187" t="b">
        <v>0</v>
      </c>
      <c r="V46" s="1186"/>
      <c r="W46" s="1186"/>
      <c r="X46" s="1187" t="b">
        <v>0</v>
      </c>
      <c r="Y46" s="1186"/>
      <c r="Z46" s="1186"/>
      <c r="AA46" s="1187" t="b">
        <v>0</v>
      </c>
      <c r="AB46" s="1186"/>
      <c r="AC46" s="1186"/>
      <c r="AD46" s="1187" t="b">
        <v>0</v>
      </c>
      <c r="AE46" s="1186"/>
      <c r="AF46" s="1186"/>
      <c r="AG46" s="1188" t="b">
        <v>0</v>
      </c>
      <c r="AH46" s="1195"/>
    </row>
    <row r="47" spans="1:34" ht="15" customHeight="1">
      <c r="A47" s="765"/>
      <c r="B47" s="1194">
        <v>14</v>
      </c>
      <c r="C47" s="1184"/>
      <c r="D47" s="1189"/>
      <c r="E47" s="1185"/>
      <c r="F47" s="1184"/>
      <c r="G47" s="1184"/>
      <c r="H47" s="1184"/>
      <c r="I47" s="1184"/>
      <c r="J47" s="1184"/>
      <c r="K47" s="1184"/>
      <c r="L47" s="1184"/>
      <c r="M47" s="1184"/>
      <c r="N47" s="1184"/>
      <c r="O47" s="1184"/>
      <c r="P47" s="1184"/>
      <c r="Q47" s="1184"/>
      <c r="R47" s="1184"/>
      <c r="S47" s="1184"/>
      <c r="T47" s="1184"/>
      <c r="U47" s="1187" t="b">
        <v>0</v>
      </c>
      <c r="V47" s="1186"/>
      <c r="W47" s="1186"/>
      <c r="X47" s="1187" t="b">
        <v>0</v>
      </c>
      <c r="Y47" s="1186"/>
      <c r="Z47" s="1186"/>
      <c r="AA47" s="1187" t="b">
        <v>0</v>
      </c>
      <c r="AB47" s="1186"/>
      <c r="AC47" s="1186"/>
      <c r="AD47" s="1187" t="b">
        <v>0</v>
      </c>
      <c r="AE47" s="1186"/>
      <c r="AF47" s="1186"/>
      <c r="AG47" s="1188" t="b">
        <v>0</v>
      </c>
      <c r="AH47" s="1195"/>
    </row>
    <row r="48" spans="1:34" ht="15" customHeight="1">
      <c r="A48" s="765"/>
      <c r="B48" s="1194">
        <v>15</v>
      </c>
      <c r="C48" s="1184"/>
      <c r="D48" s="1189"/>
      <c r="E48" s="1185"/>
      <c r="F48" s="1184"/>
      <c r="G48" s="1184"/>
      <c r="H48" s="1184"/>
      <c r="I48" s="1184"/>
      <c r="J48" s="1184"/>
      <c r="K48" s="1184"/>
      <c r="L48" s="1184"/>
      <c r="M48" s="1184"/>
      <c r="N48" s="1184"/>
      <c r="O48" s="1184"/>
      <c r="P48" s="1184"/>
      <c r="Q48" s="1184"/>
      <c r="R48" s="1184"/>
      <c r="S48" s="1184"/>
      <c r="T48" s="1184"/>
      <c r="U48" s="1187" t="b">
        <v>0</v>
      </c>
      <c r="V48" s="1186"/>
      <c r="W48" s="1186"/>
      <c r="X48" s="1187" t="b">
        <v>0</v>
      </c>
      <c r="Y48" s="1186"/>
      <c r="Z48" s="1186"/>
      <c r="AA48" s="1187" t="b">
        <v>0</v>
      </c>
      <c r="AB48" s="1186"/>
      <c r="AC48" s="1186"/>
      <c r="AD48" s="1187" t="b">
        <v>0</v>
      </c>
      <c r="AE48" s="1186"/>
      <c r="AF48" s="1186"/>
      <c r="AG48" s="1188" t="b">
        <v>0</v>
      </c>
      <c r="AH48" s="1195"/>
    </row>
    <row r="49" spans="1:34" ht="15" customHeight="1">
      <c r="A49" s="765"/>
      <c r="B49" s="1194">
        <v>16</v>
      </c>
      <c r="C49" s="1184"/>
      <c r="D49" s="1189"/>
      <c r="E49" s="1185"/>
      <c r="F49" s="1184"/>
      <c r="G49" s="1184"/>
      <c r="H49" s="1184"/>
      <c r="I49" s="1184"/>
      <c r="J49" s="1184"/>
      <c r="K49" s="1184"/>
      <c r="L49" s="1184"/>
      <c r="M49" s="1184"/>
      <c r="N49" s="1184"/>
      <c r="O49" s="1184"/>
      <c r="P49" s="1184"/>
      <c r="Q49" s="1184"/>
      <c r="R49" s="1184"/>
      <c r="S49" s="1184"/>
      <c r="T49" s="1184"/>
      <c r="U49" s="1187" t="b">
        <v>0</v>
      </c>
      <c r="V49" s="1186"/>
      <c r="W49" s="1186"/>
      <c r="X49" s="1187" t="b">
        <v>0</v>
      </c>
      <c r="Y49" s="1186"/>
      <c r="Z49" s="1186"/>
      <c r="AA49" s="1187" t="b">
        <v>0</v>
      </c>
      <c r="AB49" s="1186"/>
      <c r="AC49" s="1186"/>
      <c r="AD49" s="1187" t="b">
        <v>0</v>
      </c>
      <c r="AE49" s="1186"/>
      <c r="AF49" s="1186"/>
      <c r="AG49" s="1188" t="b">
        <v>0</v>
      </c>
      <c r="AH49" s="1195"/>
    </row>
    <row r="50" spans="1:34" ht="15" customHeight="1">
      <c r="A50" s="765"/>
      <c r="B50" s="1194">
        <v>17</v>
      </c>
      <c r="C50" s="1184"/>
      <c r="D50" s="1189"/>
      <c r="E50" s="1185"/>
      <c r="F50" s="1184"/>
      <c r="G50" s="1184"/>
      <c r="H50" s="1184"/>
      <c r="I50" s="1184"/>
      <c r="J50" s="1184"/>
      <c r="K50" s="1184"/>
      <c r="L50" s="1184"/>
      <c r="M50" s="1184"/>
      <c r="N50" s="1184"/>
      <c r="O50" s="1184"/>
      <c r="P50" s="1184"/>
      <c r="Q50" s="1184"/>
      <c r="R50" s="1184"/>
      <c r="S50" s="1184"/>
      <c r="T50" s="1184"/>
      <c r="U50" s="1187" t="b">
        <v>0</v>
      </c>
      <c r="V50" s="1186"/>
      <c r="W50" s="1186"/>
      <c r="X50" s="1187" t="b">
        <v>0</v>
      </c>
      <c r="Y50" s="1186"/>
      <c r="Z50" s="1186"/>
      <c r="AA50" s="1187" t="b">
        <v>0</v>
      </c>
      <c r="AB50" s="1186"/>
      <c r="AC50" s="1186"/>
      <c r="AD50" s="1187" t="b">
        <v>0</v>
      </c>
      <c r="AE50" s="1186"/>
      <c r="AF50" s="1186"/>
      <c r="AG50" s="1188" t="b">
        <v>0</v>
      </c>
      <c r="AH50" s="1195"/>
    </row>
    <row r="51" spans="1:34" ht="15" customHeight="1">
      <c r="A51" s="765"/>
      <c r="B51" s="1194">
        <v>18</v>
      </c>
      <c r="C51" s="1184"/>
      <c r="D51" s="1189"/>
      <c r="E51" s="1185"/>
      <c r="F51" s="1184"/>
      <c r="G51" s="1184"/>
      <c r="H51" s="1184"/>
      <c r="I51" s="1184"/>
      <c r="J51" s="1184"/>
      <c r="K51" s="1184"/>
      <c r="L51" s="1184"/>
      <c r="M51" s="1184"/>
      <c r="N51" s="1184"/>
      <c r="O51" s="1184"/>
      <c r="P51" s="1184"/>
      <c r="Q51" s="1184"/>
      <c r="R51" s="1184"/>
      <c r="S51" s="1184"/>
      <c r="T51" s="1184"/>
      <c r="U51" s="1187" t="b">
        <v>0</v>
      </c>
      <c r="V51" s="1186"/>
      <c r="W51" s="1186"/>
      <c r="X51" s="1187" t="b">
        <v>0</v>
      </c>
      <c r="Y51" s="1186"/>
      <c r="Z51" s="1186"/>
      <c r="AA51" s="1187" t="b">
        <v>0</v>
      </c>
      <c r="AB51" s="1186"/>
      <c r="AC51" s="1186"/>
      <c r="AD51" s="1187" t="b">
        <v>0</v>
      </c>
      <c r="AE51" s="1186"/>
      <c r="AF51" s="1186"/>
      <c r="AG51" s="1188" t="b">
        <v>0</v>
      </c>
      <c r="AH51" s="1195"/>
    </row>
    <row r="52" spans="1:34" ht="15" customHeight="1">
      <c r="A52" s="765"/>
      <c r="B52" s="1194">
        <v>19</v>
      </c>
      <c r="C52" s="1184"/>
      <c r="D52" s="1189"/>
      <c r="E52" s="1185"/>
      <c r="F52" s="1184"/>
      <c r="G52" s="1184"/>
      <c r="H52" s="1184"/>
      <c r="I52" s="1184"/>
      <c r="J52" s="1184"/>
      <c r="K52" s="1184"/>
      <c r="L52" s="1184"/>
      <c r="M52" s="1184"/>
      <c r="N52" s="1184"/>
      <c r="O52" s="1184"/>
      <c r="P52" s="1184"/>
      <c r="Q52" s="1184"/>
      <c r="R52" s="1184"/>
      <c r="S52" s="1184"/>
      <c r="T52" s="1184"/>
      <c r="U52" s="1187" t="b">
        <v>0</v>
      </c>
      <c r="V52" s="1186"/>
      <c r="W52" s="1186"/>
      <c r="X52" s="1187" t="b">
        <v>0</v>
      </c>
      <c r="Y52" s="1186"/>
      <c r="Z52" s="1186"/>
      <c r="AA52" s="1187" t="b">
        <v>0</v>
      </c>
      <c r="AB52" s="1186"/>
      <c r="AC52" s="1186"/>
      <c r="AD52" s="1187" t="b">
        <v>0</v>
      </c>
      <c r="AE52" s="1186"/>
      <c r="AF52" s="1186"/>
      <c r="AG52" s="1188" t="b">
        <v>0</v>
      </c>
      <c r="AH52" s="1195"/>
    </row>
    <row r="53" spans="1:34" ht="15" customHeight="1">
      <c r="A53" s="765"/>
      <c r="B53" s="1194">
        <v>20</v>
      </c>
      <c r="C53" s="1184"/>
      <c r="D53" s="1189"/>
      <c r="E53" s="1185"/>
      <c r="F53" s="1184"/>
      <c r="G53" s="1184"/>
      <c r="H53" s="1184"/>
      <c r="I53" s="1184"/>
      <c r="J53" s="1184"/>
      <c r="K53" s="1184"/>
      <c r="L53" s="1184"/>
      <c r="M53" s="1184"/>
      <c r="N53" s="1184"/>
      <c r="O53" s="1184"/>
      <c r="P53" s="1184"/>
      <c r="Q53" s="1184"/>
      <c r="R53" s="1184"/>
      <c r="S53" s="1184"/>
      <c r="T53" s="1184"/>
      <c r="U53" s="1187" t="b">
        <v>0</v>
      </c>
      <c r="V53" s="1186"/>
      <c r="W53" s="1186"/>
      <c r="X53" s="1187" t="b">
        <v>0</v>
      </c>
      <c r="Y53" s="1186"/>
      <c r="Z53" s="1186"/>
      <c r="AA53" s="1187" t="b">
        <v>0</v>
      </c>
      <c r="AB53" s="1186"/>
      <c r="AC53" s="1186"/>
      <c r="AD53" s="1187" t="b">
        <v>0</v>
      </c>
      <c r="AE53" s="1186"/>
      <c r="AF53" s="1186"/>
      <c r="AG53" s="1188" t="b">
        <v>0</v>
      </c>
      <c r="AH53" s="1195"/>
    </row>
    <row r="54" spans="1:34" ht="15" customHeight="1">
      <c r="A54" s="765"/>
      <c r="B54" s="1194">
        <v>21</v>
      </c>
      <c r="C54" s="1184"/>
      <c r="D54" s="1189"/>
      <c r="E54" s="1185"/>
      <c r="F54" s="1184"/>
      <c r="G54" s="1184"/>
      <c r="H54" s="1184"/>
      <c r="I54" s="1184"/>
      <c r="J54" s="1184"/>
      <c r="K54" s="1184"/>
      <c r="L54" s="1184"/>
      <c r="M54" s="1184"/>
      <c r="N54" s="1184"/>
      <c r="O54" s="1184"/>
      <c r="P54" s="1184"/>
      <c r="Q54" s="1184"/>
      <c r="R54" s="1184"/>
      <c r="S54" s="1184"/>
      <c r="T54" s="1184"/>
      <c r="U54" s="1187" t="b">
        <v>0</v>
      </c>
      <c r="V54" s="1186"/>
      <c r="W54" s="1186"/>
      <c r="X54" s="1187" t="b">
        <v>0</v>
      </c>
      <c r="Y54" s="1186"/>
      <c r="Z54" s="1186"/>
      <c r="AA54" s="1187" t="b">
        <v>0</v>
      </c>
      <c r="AB54" s="1186"/>
      <c r="AC54" s="1186"/>
      <c r="AD54" s="1187" t="b">
        <v>0</v>
      </c>
      <c r="AE54" s="1186"/>
      <c r="AF54" s="1186"/>
      <c r="AG54" s="1188" t="b">
        <v>0</v>
      </c>
      <c r="AH54" s="1195"/>
    </row>
    <row r="55" spans="1:34" ht="15" customHeight="1" thickBot="1">
      <c r="A55" s="765"/>
      <c r="B55" s="793">
        <v>22</v>
      </c>
      <c r="C55" s="1196"/>
      <c r="D55" s="792"/>
      <c r="E55" s="791"/>
      <c r="F55" s="790"/>
      <c r="G55" s="790"/>
      <c r="H55" s="790"/>
      <c r="I55" s="790"/>
      <c r="J55" s="790"/>
      <c r="K55" s="790"/>
      <c r="L55" s="790"/>
      <c r="M55" s="790"/>
      <c r="N55" s="790"/>
      <c r="O55" s="790"/>
      <c r="P55" s="790"/>
      <c r="Q55" s="790"/>
      <c r="R55" s="790"/>
      <c r="S55" s="790"/>
      <c r="T55" s="790"/>
      <c r="U55" s="789" t="b">
        <v>1</v>
      </c>
      <c r="V55" s="788" t="s">
        <v>2293</v>
      </c>
      <c r="W55" s="788"/>
      <c r="X55" s="789" t="b">
        <v>0</v>
      </c>
      <c r="Y55" s="788"/>
      <c r="Z55" s="788"/>
      <c r="AA55" s="789" t="b">
        <v>0</v>
      </c>
      <c r="AB55" s="788"/>
      <c r="AC55" s="788"/>
      <c r="AD55" s="789" t="b">
        <v>0</v>
      </c>
      <c r="AE55" s="788"/>
      <c r="AF55" s="788"/>
      <c r="AG55" s="1197" t="b">
        <v>0</v>
      </c>
      <c r="AH55" s="1198"/>
    </row>
    <row r="56" spans="1:34" s="644" customFormat="1" ht="13.8">
      <c r="E56" s="787"/>
      <c r="I56" s="787"/>
    </row>
    <row r="57" spans="1:34" s="16" customFormat="1" ht="21" customHeight="1">
      <c r="B57" s="641" t="s">
        <v>112</v>
      </c>
      <c r="E57" s="17"/>
      <c r="F57" s="17"/>
      <c r="G57" s="17"/>
      <c r="H57" s="17"/>
      <c r="I57" s="17"/>
    </row>
    <row r="58" spans="1:34" s="644" customFormat="1" ht="12" customHeight="1">
      <c r="B58" s="28"/>
      <c r="D58" s="786"/>
    </row>
    <row r="59" spans="1:34" s="16" customFormat="1" ht="13.8">
      <c r="B59" s="650" t="s">
        <v>2291</v>
      </c>
      <c r="E59" s="17"/>
      <c r="F59" s="17"/>
      <c r="G59" s="17"/>
      <c r="H59" s="17"/>
      <c r="I59" s="17"/>
    </row>
    <row r="60" spans="1:34" s="644" customFormat="1" ht="12.75" customHeight="1">
      <c r="B60" s="786" t="s">
        <v>2292</v>
      </c>
    </row>
    <row r="62" spans="1:34" ht="13.8">
      <c r="C62" s="785" t="s">
        <v>2291</v>
      </c>
    </row>
    <row r="63" spans="1:34" ht="13.8">
      <c r="C63" s="90" t="str">
        <f>IF(ISERROR(INDEX($E$195:$E$282,MATCH(D195,$F$195:$F$282,0))),"-",INDEX($E$195:$E$282,MATCH(D195,$F$195:$F$282,0)))</f>
        <v>1A</v>
      </c>
    </row>
    <row r="64" spans="1:34" ht="13.8">
      <c r="C64" s="90" t="str">
        <f t="shared" ref="C64:C127" si="0">IF(ISERROR(INDEX($E$195:$E$282,MATCH(D196,$F$195:$F$282,0))),"-",INDEX($E$195:$E$282,MATCH(D196,$F$195:$F$282,0)))</f>
        <v>1B</v>
      </c>
    </row>
    <row r="65" spans="3:3" ht="13.8">
      <c r="C65" s="90" t="str">
        <f t="shared" si="0"/>
        <v>2A</v>
      </c>
    </row>
    <row r="66" spans="3:3" ht="13.8">
      <c r="C66" s="90" t="str">
        <f t="shared" si="0"/>
        <v>2B</v>
      </c>
    </row>
    <row r="67" spans="3:3" ht="13.8">
      <c r="C67" s="90" t="str">
        <f t="shared" si="0"/>
        <v>2C</v>
      </c>
    </row>
    <row r="68" spans="3:3" ht="13.8">
      <c r="C68" s="90" t="str">
        <f t="shared" si="0"/>
        <v>3A</v>
      </c>
    </row>
    <row r="69" spans="3:3" ht="13.8">
      <c r="C69" s="90" t="str">
        <f t="shared" si="0"/>
        <v>3B</v>
      </c>
    </row>
    <row r="70" spans="3:3" ht="13.8">
      <c r="C70" s="90" t="str">
        <f t="shared" si="0"/>
        <v>-</v>
      </c>
    </row>
    <row r="71" spans="3:3" ht="13.8">
      <c r="C71" s="90" t="str">
        <f t="shared" si="0"/>
        <v>-</v>
      </c>
    </row>
    <row r="72" spans="3:3" ht="13.8">
      <c r="C72" s="90" t="str">
        <f t="shared" si="0"/>
        <v>-</v>
      </c>
    </row>
    <row r="73" spans="3:3" ht="13.8">
      <c r="C73" s="90" t="str">
        <f t="shared" si="0"/>
        <v>-</v>
      </c>
    </row>
    <row r="74" spans="3:3" ht="13.8">
      <c r="C74" s="90" t="str">
        <f t="shared" si="0"/>
        <v>-</v>
      </c>
    </row>
    <row r="75" spans="3:3" ht="13.8">
      <c r="C75" s="90" t="str">
        <f t="shared" si="0"/>
        <v>-</v>
      </c>
    </row>
    <row r="76" spans="3:3" ht="13.8">
      <c r="C76" s="90" t="str">
        <f t="shared" si="0"/>
        <v>-</v>
      </c>
    </row>
    <row r="77" spans="3:3" ht="13.8">
      <c r="C77" s="90" t="str">
        <f t="shared" si="0"/>
        <v>-</v>
      </c>
    </row>
    <row r="78" spans="3:3" ht="13.8">
      <c r="C78" s="90" t="str">
        <f t="shared" si="0"/>
        <v>-</v>
      </c>
    </row>
    <row r="79" spans="3:3" ht="13.8">
      <c r="C79" s="90" t="str">
        <f t="shared" si="0"/>
        <v>-</v>
      </c>
    </row>
    <row r="80" spans="3:3" ht="13.8">
      <c r="C80" s="90" t="str">
        <f t="shared" si="0"/>
        <v>-</v>
      </c>
    </row>
    <row r="81" spans="3:3" ht="13.8">
      <c r="C81" s="90" t="str">
        <f t="shared" si="0"/>
        <v>-</v>
      </c>
    </row>
    <row r="82" spans="3:3" ht="13.8">
      <c r="C82" s="90" t="str">
        <f t="shared" si="0"/>
        <v>-</v>
      </c>
    </row>
    <row r="83" spans="3:3" ht="13.8">
      <c r="C83" s="90" t="str">
        <f t="shared" si="0"/>
        <v>-</v>
      </c>
    </row>
    <row r="84" spans="3:3" ht="13.8">
      <c r="C84" s="90" t="str">
        <f t="shared" si="0"/>
        <v>-</v>
      </c>
    </row>
    <row r="85" spans="3:3" ht="13.8">
      <c r="C85" s="90" t="str">
        <f t="shared" si="0"/>
        <v>-</v>
      </c>
    </row>
    <row r="86" spans="3:3" ht="13.8">
      <c r="C86" s="90" t="str">
        <f t="shared" si="0"/>
        <v>-</v>
      </c>
    </row>
    <row r="87" spans="3:3" ht="13.8">
      <c r="C87" s="90" t="str">
        <f t="shared" si="0"/>
        <v>-</v>
      </c>
    </row>
    <row r="88" spans="3:3" ht="13.8">
      <c r="C88" s="90" t="str">
        <f t="shared" si="0"/>
        <v>-</v>
      </c>
    </row>
    <row r="89" spans="3:3" ht="13.8">
      <c r="C89" s="90" t="str">
        <f t="shared" si="0"/>
        <v>-</v>
      </c>
    </row>
    <row r="90" spans="3:3" ht="13.8">
      <c r="C90" s="90" t="str">
        <f t="shared" si="0"/>
        <v>-</v>
      </c>
    </row>
    <row r="91" spans="3:3" ht="13.8">
      <c r="C91" s="90" t="str">
        <f t="shared" si="0"/>
        <v>-</v>
      </c>
    </row>
    <row r="92" spans="3:3" ht="13.8">
      <c r="C92" s="90" t="str">
        <f t="shared" si="0"/>
        <v>-</v>
      </c>
    </row>
    <row r="93" spans="3:3" ht="13.8">
      <c r="C93" s="90" t="str">
        <f t="shared" si="0"/>
        <v>-</v>
      </c>
    </row>
    <row r="94" spans="3:3" ht="13.8">
      <c r="C94" s="90" t="str">
        <f t="shared" si="0"/>
        <v>-</v>
      </c>
    </row>
    <row r="95" spans="3:3" ht="13.8">
      <c r="C95" s="90" t="str">
        <f t="shared" si="0"/>
        <v>-</v>
      </c>
    </row>
    <row r="96" spans="3:3" ht="13.8">
      <c r="C96" s="90" t="str">
        <f t="shared" si="0"/>
        <v>-</v>
      </c>
    </row>
    <row r="97" spans="3:3" ht="13.8">
      <c r="C97" s="90" t="str">
        <f t="shared" si="0"/>
        <v>-</v>
      </c>
    </row>
    <row r="98" spans="3:3" ht="13.8">
      <c r="C98" s="90" t="str">
        <f t="shared" si="0"/>
        <v>-</v>
      </c>
    </row>
    <row r="99" spans="3:3" ht="13.8">
      <c r="C99" s="90" t="str">
        <f t="shared" si="0"/>
        <v>-</v>
      </c>
    </row>
    <row r="100" spans="3:3" ht="13.8">
      <c r="C100" s="90" t="str">
        <f t="shared" si="0"/>
        <v>-</v>
      </c>
    </row>
    <row r="101" spans="3:3" ht="13.8">
      <c r="C101" s="90" t="str">
        <f t="shared" si="0"/>
        <v>-</v>
      </c>
    </row>
    <row r="102" spans="3:3" ht="13.8">
      <c r="C102" s="90" t="str">
        <f t="shared" si="0"/>
        <v>-</v>
      </c>
    </row>
    <row r="103" spans="3:3" ht="13.8">
      <c r="C103" s="90" t="str">
        <f t="shared" si="0"/>
        <v>-</v>
      </c>
    </row>
    <row r="104" spans="3:3" ht="13.8">
      <c r="C104" s="90" t="str">
        <f t="shared" si="0"/>
        <v>-</v>
      </c>
    </row>
    <row r="105" spans="3:3" ht="13.8">
      <c r="C105" s="90" t="str">
        <f t="shared" si="0"/>
        <v>-</v>
      </c>
    </row>
    <row r="106" spans="3:3" ht="13.8">
      <c r="C106" s="90" t="str">
        <f t="shared" si="0"/>
        <v>-</v>
      </c>
    </row>
    <row r="107" spans="3:3" ht="13.8">
      <c r="C107" s="90" t="str">
        <f t="shared" si="0"/>
        <v>-</v>
      </c>
    </row>
    <row r="108" spans="3:3" ht="13.8">
      <c r="C108" s="90" t="str">
        <f t="shared" si="0"/>
        <v>-</v>
      </c>
    </row>
    <row r="109" spans="3:3" ht="13.8">
      <c r="C109" s="90" t="str">
        <f t="shared" si="0"/>
        <v>-</v>
      </c>
    </row>
    <row r="110" spans="3:3" ht="13.8">
      <c r="C110" s="90" t="str">
        <f t="shared" si="0"/>
        <v>-</v>
      </c>
    </row>
    <row r="111" spans="3:3" ht="13.8">
      <c r="C111" s="90" t="str">
        <f t="shared" si="0"/>
        <v>-</v>
      </c>
    </row>
    <row r="112" spans="3:3" ht="13.8">
      <c r="C112" s="90" t="str">
        <f t="shared" si="0"/>
        <v>-</v>
      </c>
    </row>
    <row r="113" spans="3:3" ht="13.8">
      <c r="C113" s="90" t="str">
        <f t="shared" si="0"/>
        <v>-</v>
      </c>
    </row>
    <row r="114" spans="3:3" ht="13.8">
      <c r="C114" s="90" t="str">
        <f t="shared" si="0"/>
        <v>-</v>
      </c>
    </row>
    <row r="115" spans="3:3" ht="13.8">
      <c r="C115" s="90" t="str">
        <f t="shared" si="0"/>
        <v>-</v>
      </c>
    </row>
    <row r="116" spans="3:3" ht="13.8">
      <c r="C116" s="90" t="str">
        <f t="shared" si="0"/>
        <v>-</v>
      </c>
    </row>
    <row r="117" spans="3:3" ht="13.8">
      <c r="C117" s="90" t="str">
        <f t="shared" si="0"/>
        <v>-</v>
      </c>
    </row>
    <row r="118" spans="3:3" ht="13.8">
      <c r="C118" s="90" t="str">
        <f t="shared" si="0"/>
        <v>-</v>
      </c>
    </row>
    <row r="119" spans="3:3" ht="13.8">
      <c r="C119" s="90" t="str">
        <f t="shared" si="0"/>
        <v>-</v>
      </c>
    </row>
    <row r="120" spans="3:3" ht="13.8">
      <c r="C120" s="90" t="str">
        <f t="shared" si="0"/>
        <v>-</v>
      </c>
    </row>
    <row r="121" spans="3:3" ht="13.8">
      <c r="C121" s="90" t="str">
        <f t="shared" si="0"/>
        <v>-</v>
      </c>
    </row>
    <row r="122" spans="3:3" ht="13.8">
      <c r="C122" s="90" t="str">
        <f t="shared" si="0"/>
        <v>-</v>
      </c>
    </row>
    <row r="123" spans="3:3" ht="13.8">
      <c r="C123" s="90" t="str">
        <f t="shared" si="0"/>
        <v>-</v>
      </c>
    </row>
    <row r="124" spans="3:3" ht="13.8">
      <c r="C124" s="90" t="str">
        <f t="shared" si="0"/>
        <v>-</v>
      </c>
    </row>
    <row r="125" spans="3:3" ht="13.8">
      <c r="C125" s="90" t="str">
        <f t="shared" si="0"/>
        <v>-</v>
      </c>
    </row>
    <row r="126" spans="3:3" ht="13.8">
      <c r="C126" s="90" t="str">
        <f t="shared" si="0"/>
        <v>-</v>
      </c>
    </row>
    <row r="127" spans="3:3" ht="13.8">
      <c r="C127" s="90" t="str">
        <f t="shared" si="0"/>
        <v>-</v>
      </c>
    </row>
    <row r="128" spans="3:3" ht="13.8">
      <c r="C128" s="90" t="str">
        <f t="shared" ref="C128:C150" si="1">IF(ISERROR(INDEX($E$195:$E$282,MATCH(D260,$F$195:$F$282,0))),"-",INDEX($E$195:$E$282,MATCH(D260,$F$195:$F$282,0)))</f>
        <v>-</v>
      </c>
    </row>
    <row r="129" spans="3:3" ht="13.8">
      <c r="C129" s="90" t="str">
        <f t="shared" si="1"/>
        <v>-</v>
      </c>
    </row>
    <row r="130" spans="3:3" ht="13.8">
      <c r="C130" s="90" t="str">
        <f t="shared" si="1"/>
        <v>-</v>
      </c>
    </row>
    <row r="131" spans="3:3" ht="13.8">
      <c r="C131" s="90" t="str">
        <f t="shared" si="1"/>
        <v>-</v>
      </c>
    </row>
    <row r="132" spans="3:3" ht="13.8">
      <c r="C132" s="90" t="str">
        <f t="shared" si="1"/>
        <v>-</v>
      </c>
    </row>
    <row r="133" spans="3:3" ht="13.8">
      <c r="C133" s="90" t="str">
        <f t="shared" si="1"/>
        <v>-</v>
      </c>
    </row>
    <row r="134" spans="3:3" ht="13.8">
      <c r="C134" s="90" t="str">
        <f t="shared" si="1"/>
        <v>-</v>
      </c>
    </row>
    <row r="135" spans="3:3" ht="13.8">
      <c r="C135" s="90" t="str">
        <f t="shared" si="1"/>
        <v>-</v>
      </c>
    </row>
    <row r="136" spans="3:3" ht="13.8">
      <c r="C136" s="90" t="str">
        <f t="shared" si="1"/>
        <v>-</v>
      </c>
    </row>
    <row r="137" spans="3:3" ht="13.8">
      <c r="C137" s="90" t="str">
        <f t="shared" si="1"/>
        <v>-</v>
      </c>
    </row>
    <row r="138" spans="3:3" ht="13.8">
      <c r="C138" s="90" t="str">
        <f t="shared" si="1"/>
        <v>-</v>
      </c>
    </row>
    <row r="139" spans="3:3" ht="13.8">
      <c r="C139" s="90" t="str">
        <f t="shared" si="1"/>
        <v>-</v>
      </c>
    </row>
    <row r="140" spans="3:3" ht="13.8">
      <c r="C140" s="90" t="str">
        <f t="shared" si="1"/>
        <v>-</v>
      </c>
    </row>
    <row r="141" spans="3:3" ht="13.8">
      <c r="C141" s="90" t="str">
        <f t="shared" si="1"/>
        <v>-</v>
      </c>
    </row>
    <row r="142" spans="3:3" ht="13.8">
      <c r="C142" s="90" t="str">
        <f t="shared" si="1"/>
        <v>-</v>
      </c>
    </row>
    <row r="143" spans="3:3" ht="13.8">
      <c r="C143" s="90" t="str">
        <f t="shared" si="1"/>
        <v>-</v>
      </c>
    </row>
    <row r="144" spans="3:3" ht="13.8">
      <c r="C144" s="90" t="str">
        <f t="shared" si="1"/>
        <v>-</v>
      </c>
    </row>
    <row r="145" spans="1:32" ht="13.8">
      <c r="C145" s="90" t="str">
        <f t="shared" si="1"/>
        <v>-</v>
      </c>
    </row>
    <row r="146" spans="1:32" ht="13.8">
      <c r="C146" s="90" t="str">
        <f t="shared" si="1"/>
        <v>-</v>
      </c>
    </row>
    <row r="147" spans="1:32" ht="13.8">
      <c r="C147" s="90" t="str">
        <f t="shared" si="1"/>
        <v>-</v>
      </c>
    </row>
    <row r="148" spans="1:32" ht="13.8">
      <c r="C148" s="90" t="str">
        <f t="shared" si="1"/>
        <v>-</v>
      </c>
    </row>
    <row r="149" spans="1:32" ht="13.8">
      <c r="C149" s="90" t="str">
        <f t="shared" si="1"/>
        <v>-</v>
      </c>
    </row>
    <row r="150" spans="1:32" ht="13.8">
      <c r="C150" s="90" t="str">
        <f t="shared" si="1"/>
        <v>-</v>
      </c>
    </row>
    <row r="152" spans="1:32" s="16" customFormat="1" ht="21" customHeight="1">
      <c r="B152" s="641" t="s">
        <v>119</v>
      </c>
      <c r="E152" s="17"/>
      <c r="F152" s="17"/>
      <c r="G152" s="17"/>
      <c r="H152" s="17"/>
      <c r="I152" s="17"/>
    </row>
    <row r="153" spans="1:32" s="644" customFormat="1" ht="12.75" customHeight="1"/>
    <row r="154" spans="1:32" s="16" customFormat="1" ht="13.8">
      <c r="B154" s="650" t="s">
        <v>2290</v>
      </c>
      <c r="E154" s="17"/>
      <c r="F154" s="17"/>
      <c r="G154" s="17"/>
      <c r="H154" s="17"/>
      <c r="I154" s="17"/>
    </row>
    <row r="155" spans="1:32" s="644" customFormat="1" ht="12.75" customHeight="1"/>
    <row r="156" spans="1:32" ht="13.8">
      <c r="A156" s="765"/>
      <c r="B156" s="784" t="s">
        <v>2289</v>
      </c>
      <c r="C156" s="783"/>
      <c r="D156" s="782" t="s">
        <v>2288</v>
      </c>
      <c r="E156" s="782"/>
      <c r="F156" s="782"/>
      <c r="G156" s="782"/>
      <c r="H156" s="782"/>
      <c r="I156" s="782"/>
      <c r="J156" s="782"/>
      <c r="K156" s="782"/>
      <c r="L156" s="782"/>
      <c r="M156" s="782"/>
      <c r="N156" s="782"/>
      <c r="O156" s="782"/>
      <c r="P156" s="782"/>
      <c r="Q156" s="782"/>
      <c r="R156" s="782"/>
      <c r="S156" s="782"/>
      <c r="T156" s="765"/>
      <c r="U156" s="765"/>
      <c r="V156" s="765"/>
      <c r="W156" s="765"/>
      <c r="X156" s="765"/>
      <c r="Y156" s="765"/>
      <c r="Z156" s="765"/>
      <c r="AA156" s="765"/>
      <c r="AB156" s="765"/>
      <c r="AC156" s="765"/>
      <c r="AF156" s="765"/>
    </row>
    <row r="157" spans="1:32" ht="13.8">
      <c r="A157" s="765"/>
      <c r="B157" s="784" t="s">
        <v>2289</v>
      </c>
      <c r="C157" s="1276"/>
      <c r="D157" s="782" t="s">
        <v>3258</v>
      </c>
      <c r="E157" s="782"/>
      <c r="F157" s="782"/>
      <c r="G157" s="782"/>
      <c r="H157" s="782"/>
      <c r="I157" s="782"/>
      <c r="J157" s="782"/>
      <c r="K157" s="782"/>
      <c r="L157" s="782"/>
      <c r="M157" s="782"/>
      <c r="N157" s="782"/>
      <c r="O157" s="782"/>
      <c r="P157" s="782"/>
      <c r="Q157" s="782"/>
      <c r="R157" s="782"/>
      <c r="S157" s="782"/>
      <c r="T157" s="765"/>
      <c r="U157" s="765"/>
      <c r="V157" s="765"/>
      <c r="W157" s="765"/>
      <c r="X157" s="765"/>
      <c r="Y157" s="765"/>
      <c r="Z157" s="765"/>
      <c r="AA157" s="765"/>
      <c r="AB157" s="765"/>
      <c r="AC157" s="765"/>
      <c r="AF157" s="765"/>
    </row>
    <row r="158" spans="1:32" ht="13.8">
      <c r="A158" s="765"/>
      <c r="B158" s="782"/>
      <c r="C158" s="782"/>
      <c r="D158" s="782"/>
      <c r="E158" s="782"/>
      <c r="F158" s="782"/>
      <c r="G158" s="782"/>
      <c r="H158" s="782"/>
      <c r="I158" s="782"/>
      <c r="J158" s="782"/>
      <c r="K158" s="782"/>
      <c r="L158" s="782"/>
      <c r="M158" s="782"/>
      <c r="N158" s="782"/>
      <c r="O158" s="782"/>
      <c r="P158" s="782"/>
      <c r="Q158" s="782"/>
      <c r="R158" s="782"/>
      <c r="S158" s="782"/>
      <c r="T158" s="765"/>
      <c r="U158" s="765"/>
      <c r="V158" s="765"/>
      <c r="W158" s="765"/>
      <c r="X158" s="765"/>
      <c r="Y158" s="765"/>
      <c r="Z158" s="765"/>
      <c r="AA158" s="765"/>
      <c r="AB158" s="765"/>
      <c r="AC158" s="765"/>
      <c r="AF158" s="765"/>
    </row>
    <row r="159" spans="1:32" ht="13.8">
      <c r="B159" s="781" t="s">
        <v>2287</v>
      </c>
      <c r="C159" s="779">
        <f>IF(PopupWobbler_Round=0,1,INDEX(F159:J159,PopupWobbler_Round))</f>
        <v>1</v>
      </c>
      <c r="D159" s="777"/>
      <c r="E159" s="781" t="s">
        <v>398</v>
      </c>
      <c r="F159" s="780">
        <f>COUNTIF($F$34:$F$55,1)</f>
        <v>1</v>
      </c>
      <c r="G159" s="780">
        <f>COUNTIF($F$34:$F$55,2)+F159</f>
        <v>3</v>
      </c>
      <c r="H159" s="780">
        <f>COUNTIF($F$34:$F$55,3)+G159</f>
        <v>3</v>
      </c>
      <c r="I159" s="779">
        <f>COUNTIF($F$34:$F$55,4)+H159</f>
        <v>3</v>
      </c>
      <c r="J159" s="772"/>
      <c r="K159" s="778"/>
      <c r="L159" s="771"/>
      <c r="M159" s="771"/>
      <c r="N159" s="771"/>
      <c r="O159" s="771"/>
      <c r="P159" s="771"/>
      <c r="Q159" s="771"/>
      <c r="R159" s="771"/>
      <c r="S159" s="771"/>
    </row>
    <row r="160" spans="1:32" ht="13.8">
      <c r="B160" s="776" t="s">
        <v>2286</v>
      </c>
      <c r="C160" s="774">
        <f>IF(PopupWobbler_Round=1,xxPopupWobblerStartY1,IF(PopupWobbler_Round=2,xxPopupWobblerStartY2,IF(PopupWobbler_Round=3,xxPopupWobblerStartY3,IF(PopupWobbler_Round=4,xxPopupWobblerStartY4,0))))</f>
        <v>1</v>
      </c>
      <c r="D160" s="777"/>
      <c r="E160" s="776" t="s">
        <v>2285</v>
      </c>
      <c r="F160" s="775">
        <v>1</v>
      </c>
      <c r="G160" s="775">
        <f>F159+1</f>
        <v>2</v>
      </c>
      <c r="H160" s="775">
        <f>G159+1</f>
        <v>4</v>
      </c>
      <c r="I160" s="774">
        <f>H159+1</f>
        <v>4</v>
      </c>
      <c r="J160" s="771"/>
      <c r="K160" s="771"/>
      <c r="L160" s="771"/>
      <c r="M160" s="771"/>
      <c r="N160" s="771"/>
      <c r="O160" s="771"/>
      <c r="P160" s="771"/>
      <c r="Q160" s="771"/>
      <c r="R160" s="771"/>
      <c r="S160" s="771"/>
    </row>
    <row r="161" spans="1:34" ht="13.8">
      <c r="B161" s="771"/>
      <c r="C161" s="771"/>
      <c r="D161" s="773"/>
      <c r="E161" s="771"/>
      <c r="F161" s="771" t="s">
        <v>2284</v>
      </c>
      <c r="G161" s="771" t="s">
        <v>2283</v>
      </c>
      <c r="H161" s="771" t="s">
        <v>2282</v>
      </c>
      <c r="I161" s="771" t="s">
        <v>2281</v>
      </c>
      <c r="J161" s="771"/>
      <c r="K161" s="771"/>
      <c r="L161" s="771"/>
      <c r="M161" s="771"/>
      <c r="N161" s="771"/>
      <c r="O161" s="771"/>
      <c r="P161" s="772"/>
      <c r="Q161" s="772"/>
      <c r="R161" s="771"/>
      <c r="S161" s="771"/>
    </row>
    <row r="162" spans="1:34" ht="13.8">
      <c r="A162" s="765"/>
      <c r="B162" s="764"/>
      <c r="C162" s="764"/>
      <c r="D162" s="764"/>
      <c r="E162" s="764"/>
      <c r="F162" s="764"/>
      <c r="G162" s="764"/>
      <c r="H162" s="764"/>
      <c r="I162" s="764"/>
      <c r="J162" s="764"/>
      <c r="K162" s="764"/>
      <c r="L162" s="764"/>
      <c r="M162" s="764"/>
      <c r="N162" s="764"/>
      <c r="O162" s="764"/>
      <c r="P162" s="764"/>
      <c r="Q162" s="764"/>
      <c r="R162" s="764"/>
      <c r="S162" s="764"/>
      <c r="T162" s="764"/>
      <c r="X162" s="765"/>
      <c r="Y162" s="765"/>
      <c r="AA162" s="765"/>
      <c r="AB162" s="765"/>
    </row>
    <row r="163" spans="1:34" ht="42.75" customHeight="1">
      <c r="A163" s="765"/>
      <c r="B163" s="770" t="str">
        <f t="shared" ref="B163:AF163" si="2">B33</f>
        <v>Slot #</v>
      </c>
      <c r="C163" s="769" t="str">
        <f t="shared" si="2"/>
        <v>Conditional Wobbler</v>
      </c>
      <c r="D163" s="769" t="str">
        <f t="shared" si="2"/>
        <v>PopUp Time Interval</v>
      </c>
      <c r="E163" s="769" t="str">
        <f t="shared" si="2"/>
        <v>Tool Input Range</v>
      </c>
      <c r="F163" s="769" t="str">
        <f t="shared" si="2"/>
        <v>Round</v>
      </c>
      <c r="G163" s="769" t="str">
        <f t="shared" si="2"/>
        <v>TitlInpute</v>
      </c>
      <c r="H163" s="769" t="str">
        <f t="shared" si="2"/>
        <v>Description</v>
      </c>
      <c r="I163" s="769" t="str">
        <f t="shared" si="2"/>
        <v>Option A</v>
      </c>
      <c r="J163" s="769" t="str">
        <f t="shared" si="2"/>
        <v>Option B</v>
      </c>
      <c r="K163" s="769" t="str">
        <f t="shared" si="2"/>
        <v>Option C</v>
      </c>
      <c r="L163" s="769" t="str">
        <f t="shared" si="2"/>
        <v>Option D</v>
      </c>
      <c r="M163" s="769" t="str">
        <f t="shared" si="2"/>
        <v>Cons A</v>
      </c>
      <c r="N163" s="769" t="str">
        <f t="shared" si="2"/>
        <v>Opt A Next (Optional)</v>
      </c>
      <c r="O163" s="769" t="str">
        <f t="shared" si="2"/>
        <v>Cons B</v>
      </c>
      <c r="P163" s="769" t="str">
        <f t="shared" si="2"/>
        <v>Opt B Next (Optional)</v>
      </c>
      <c r="Q163" s="769" t="str">
        <f t="shared" si="2"/>
        <v>Cons C</v>
      </c>
      <c r="R163" s="769" t="str">
        <f t="shared" si="2"/>
        <v>Opt C Next (Optional)</v>
      </c>
      <c r="S163" s="769" t="str">
        <f t="shared" si="2"/>
        <v>Cons D</v>
      </c>
      <c r="T163" s="769" t="str">
        <f t="shared" si="2"/>
        <v>Opt D Next (Optional)</v>
      </c>
      <c r="U163" s="769" t="str">
        <f t="shared" si="2"/>
        <v>Cond. Tier A Met</v>
      </c>
      <c r="V163" s="769" t="str">
        <f t="shared" si="2"/>
        <v>Cond. Tier A Cons</v>
      </c>
      <c r="W163" s="769" t="str">
        <f t="shared" si="2"/>
        <v>Cond. Tier A Next (Optional)</v>
      </c>
      <c r="X163" s="769" t="str">
        <f t="shared" si="2"/>
        <v>Cond. Tier B Met</v>
      </c>
      <c r="Y163" s="769" t="str">
        <f t="shared" si="2"/>
        <v>Cond. Tier B Cons</v>
      </c>
      <c r="Z163" s="769" t="str">
        <f t="shared" si="2"/>
        <v>Cond. Tier B Next (Optional)</v>
      </c>
      <c r="AA163" s="769" t="str">
        <f t="shared" si="2"/>
        <v>Cond. Tier C Met</v>
      </c>
      <c r="AB163" s="769" t="str">
        <f t="shared" si="2"/>
        <v>Cond. Tier C Cons</v>
      </c>
      <c r="AC163" s="769" t="str">
        <f t="shared" si="2"/>
        <v>Cond. Tier C Next (Optional)</v>
      </c>
      <c r="AD163" s="769" t="str">
        <f t="shared" si="2"/>
        <v>Cond. Tier D Met</v>
      </c>
      <c r="AE163" s="769" t="str">
        <f t="shared" si="2"/>
        <v>Cond. Tier D Cons</v>
      </c>
      <c r="AF163" s="769" t="str">
        <f t="shared" si="2"/>
        <v>Cond. Tier D Next (Optional)</v>
      </c>
      <c r="AG163" s="769" t="str">
        <f>AG33</f>
        <v>Video Wobbler?</v>
      </c>
      <c r="AH163" s="769" t="str">
        <f>AH33</f>
        <v>Video Wobbler Range</v>
      </c>
    </row>
    <row r="164" spans="1:34" ht="13.8">
      <c r="A164" s="765"/>
      <c r="B164" s="768">
        <f t="shared" ref="B164:AF164" si="3">INDEX(B$34:B$55,xxPopupWobblerCurrent)</f>
        <v>1</v>
      </c>
      <c r="C164" s="766" t="b">
        <f t="shared" si="3"/>
        <v>0</v>
      </c>
      <c r="D164" s="767">
        <f t="shared" si="3"/>
        <v>1.3888888888888888E-2</v>
      </c>
      <c r="E164" s="766" t="str">
        <f t="shared" si="3"/>
        <v>tlInputWobbler1</v>
      </c>
      <c r="F164" s="766">
        <f t="shared" si="3"/>
        <v>1</v>
      </c>
      <c r="G164" s="766" t="str">
        <f t="shared" si="3"/>
        <v>The Price is Right?!?</v>
      </c>
      <c r="H164" s="766" t="str">
        <f t="shared" si="3"/>
        <v xml:space="preserve">Over the last few years, we have built a strong relationship with Cola Co., and they have been pleased with the progress we have made on their Azul Infrastructure usage challenges. They continue to value the high quality of the Nimbolt products we deploy, as they focus on aggressively growing their consumer base.
Our main point of contact at Cola Co. recentlInputy reached out to let us know that M.I.B., one of Nimbolt’s largest competitors for data analytics, is aggressively pursuing Cola Co. to win their business. M.I.B. has offered to provide data analytics offerings for 20 percent less (no deployment costs) than what Nimbolt has historically offered.
Cola Co. is interested in Nimbolt’s data analytics products and wants to know if we can match M.I.B.'s offer. Cola Co. is a key account for us and having them as a customer is very important for our brand. Our ability to tell the Cola Co. story to other customers is a competitive advantage for us. If we don’t handle this situation right it could have wider ramifications.  Please advise, thank you.
Best,
Elena Jackson
Account Director, Accent Managed Services
</v>
      </c>
      <c r="I164" s="766" t="str">
        <f t="shared" si="3"/>
        <v>Schedule a face-to-face with the Cola Co. Chief Information Officer and Business Decision Makers to get a better understanding of Cola Co.’s challenges. Your goal in this meeting is to lead with how Nimbolt's products differ from M.I.B.'s solutions. Articulate how Nimbolt’s Azul Platform can provide more than a data analytics platform. Nimbolt solutions listen, learn, and predict, highlighting future growth opportunities for Cola Co. You will not focus on pricing during this meeting time but hope to justify why your price is higher than M.I.B. 
FTEs: 15</v>
      </c>
      <c r="J164" s="766" t="str">
        <f t="shared" si="3"/>
        <v>This customer is too important to take unnecessary risk. Given Cola Co.’s influence and the credibility they extend to Nimbolt, we should provide the 20-percent discount. This will ensure we keep M.I.B out of the conversation. This will also ensure that we continue to be the best partner we can be as Cola Co. grows. We may lose some return on the discount now, but this approach should open up doors for us to provide more products and services down the line.
FTEs: None</v>
      </c>
      <c r="K164" s="766">
        <f t="shared" si="3"/>
        <v>0</v>
      </c>
      <c r="L164" s="766">
        <f t="shared" si="3"/>
        <v>0</v>
      </c>
      <c r="M164" s="766" t="str">
        <f t="shared" si="3"/>
        <v>During your face-to-face meeting, you were able to illustrate how, over recent years, Nimbolt’s expertise and breadth of offerings have been a great benefit for Cola Co. Cola Co. was happy with the outcome of the meeting and decided to stick with Azul and even build out some additional applications to get maximum use out of the service.
CP Advocacy: +.5
PB Consumption: +2%</v>
      </c>
      <c r="N164" s="766">
        <f t="shared" si="3"/>
        <v>0</v>
      </c>
      <c r="O164" s="766" t="str">
        <f t="shared" si="3"/>
        <v>Cola Co. was very excited to see how much Nimbolt values the relationship, and they were grateful that you could get more competitive on pricing. They asked you to implement Azul Infrastructure analysis services, and they said they look forward to working with your team again. Unfortunately, your margin takes a hit because of this price decrease, and the Cola Co. account lead is concerned that you have opened the door for more competitors to come in and further drive down your price.
CP Advocacy: +1.5
PB Revenue: -$500,000</v>
      </c>
      <c r="P164" s="766">
        <f t="shared" si="3"/>
        <v>0</v>
      </c>
      <c r="Q164" s="766">
        <f t="shared" si="3"/>
        <v>0</v>
      </c>
      <c r="R164" s="766">
        <f t="shared" si="3"/>
        <v>0</v>
      </c>
      <c r="S164" s="766">
        <f t="shared" si="3"/>
        <v>0</v>
      </c>
      <c r="T164" s="766">
        <f t="shared" si="3"/>
        <v>0</v>
      </c>
      <c r="U164" s="766" t="b">
        <f t="shared" si="3"/>
        <v>0</v>
      </c>
      <c r="V164" s="766">
        <f t="shared" si="3"/>
        <v>0</v>
      </c>
      <c r="W164" s="766">
        <f t="shared" si="3"/>
        <v>0</v>
      </c>
      <c r="X164" s="766" t="b">
        <f t="shared" si="3"/>
        <v>0</v>
      </c>
      <c r="Y164" s="766" t="str">
        <f t="shared" si="3"/>
        <v>You invested between 5 and 9 cumulative levels and will face two additional weeks of rework time.</v>
      </c>
      <c r="Z164" s="766">
        <f t="shared" si="3"/>
        <v>0</v>
      </c>
      <c r="AA164" s="766" t="b">
        <f t="shared" si="3"/>
        <v>1</v>
      </c>
      <c r="AB164" s="766" t="str">
        <f t="shared" si="3"/>
        <v>You invested less than 5 cumulative levels and will face six additional weeks of rework time.</v>
      </c>
      <c r="AC164" s="766">
        <f t="shared" si="3"/>
        <v>0</v>
      </c>
      <c r="AD164" s="766" t="b">
        <f t="shared" si="3"/>
        <v>0</v>
      </c>
      <c r="AE164" s="766">
        <f t="shared" si="3"/>
        <v>0</v>
      </c>
      <c r="AF164" s="766">
        <f t="shared" si="3"/>
        <v>0</v>
      </c>
      <c r="AG164" s="766" t="b">
        <f t="shared" ref="AG164:AH164" si="4">INDEX(AG$34:AG$55,xxPopupWobblerCurrent)</f>
        <v>0</v>
      </c>
      <c r="AH164" s="766">
        <f t="shared" si="4"/>
        <v>0</v>
      </c>
    </row>
    <row r="165" spans="1:34" ht="13.8">
      <c r="A165" s="765"/>
      <c r="B165" s="764" t="s">
        <v>2280</v>
      </c>
      <c r="C165" s="764" t="s">
        <v>2279</v>
      </c>
      <c r="D165" s="763" t="s">
        <v>2278</v>
      </c>
      <c r="E165" s="763" t="s">
        <v>2277</v>
      </c>
      <c r="F165" s="763"/>
      <c r="G165" s="763" t="s">
        <v>3094</v>
      </c>
      <c r="H165" s="763" t="s">
        <v>2276</v>
      </c>
      <c r="I165" s="763" t="s">
        <v>2275</v>
      </c>
      <c r="J165" s="763" t="s">
        <v>2274</v>
      </c>
      <c r="K165" s="763" t="s">
        <v>2273</v>
      </c>
      <c r="L165" s="763" t="s">
        <v>2272</v>
      </c>
      <c r="M165" s="763" t="s">
        <v>2271</v>
      </c>
      <c r="N165" s="763" t="s">
        <v>2270</v>
      </c>
      <c r="O165" s="763" t="s">
        <v>2269</v>
      </c>
      <c r="P165" s="763" t="s">
        <v>2268</v>
      </c>
      <c r="Q165" s="763" t="s">
        <v>2267</v>
      </c>
      <c r="R165" s="763" t="s">
        <v>2266</v>
      </c>
      <c r="S165" s="763" t="s">
        <v>2265</v>
      </c>
      <c r="T165" s="763" t="s">
        <v>2264</v>
      </c>
      <c r="U165" s="763" t="s">
        <v>2263</v>
      </c>
      <c r="V165" s="763" t="s">
        <v>2262</v>
      </c>
      <c r="W165" s="763" t="s">
        <v>2261</v>
      </c>
      <c r="X165" s="763" t="s">
        <v>2260</v>
      </c>
      <c r="Y165" s="763" t="s">
        <v>2259</v>
      </c>
      <c r="Z165" s="763" t="s">
        <v>2258</v>
      </c>
      <c r="AA165" s="763" t="s">
        <v>2257</v>
      </c>
      <c r="AB165" s="763" t="s">
        <v>2256</v>
      </c>
      <c r="AC165" s="763" t="s">
        <v>2255</v>
      </c>
      <c r="AD165" s="763" t="s">
        <v>2254</v>
      </c>
      <c r="AE165" s="763" t="s">
        <v>2253</v>
      </c>
      <c r="AF165" s="763" t="s">
        <v>2252</v>
      </c>
      <c r="AG165" s="763" t="s">
        <v>2818</v>
      </c>
      <c r="AH165" s="763" t="s">
        <v>3013</v>
      </c>
    </row>
    <row r="166" spans="1:34" s="644" customFormat="1" ht="12.75" customHeight="1"/>
    <row r="167" spans="1:34" s="16" customFormat="1" ht="13.8">
      <c r="B167" s="650" t="s">
        <v>2251</v>
      </c>
      <c r="E167" s="17"/>
      <c r="F167" s="17"/>
      <c r="G167" s="17"/>
      <c r="H167" s="17"/>
      <c r="I167" s="17"/>
    </row>
    <row r="168" spans="1:34" s="644" customFormat="1" ht="12.75" customHeight="1"/>
    <row r="169" spans="1:34" s="644" customFormat="1" ht="12.75" customHeight="1">
      <c r="E169" s="762" t="s">
        <v>260</v>
      </c>
      <c r="F169" s="762" t="s">
        <v>2250</v>
      </c>
      <c r="G169" s="762" t="s">
        <v>2249</v>
      </c>
      <c r="H169" s="762" t="s">
        <v>2248</v>
      </c>
    </row>
    <row r="170" spans="1:34" s="644" customFormat="1" ht="12.75" customHeight="1">
      <c r="D170" s="755">
        <v>1</v>
      </c>
      <c r="E170" s="761" t="str">
        <f t="shared" ref="E170:E191" si="5">IF($C34,IF(V34&lt;&gt;"",$D170&amp;E$169),IF(I34&lt;&gt;"",$D170&amp;E$169))</f>
        <v>1A</v>
      </c>
      <c r="F170" s="760" t="str">
        <f t="shared" ref="F170:F191" si="6">IF($C34,IF(Y34&lt;&gt;"",$D170&amp;F$169),IF(J34&lt;&gt;"",$D170&amp;F$169))</f>
        <v>1B</v>
      </c>
      <c r="G170" s="760" t="b">
        <f t="shared" ref="G170:G191" si="7">IF($C34,IF(AB34&lt;&gt;"",$D170&amp;G$169),IF(K34&lt;&gt;"",$D170&amp;G$169))</f>
        <v>0</v>
      </c>
      <c r="H170" s="759" t="b">
        <f t="shared" ref="H170:H191" si="8">IF($C34,IF(AE34&lt;&gt;"",$D170&amp;H$169),IF(L34&lt;&gt;"",$D170&amp;H$169))</f>
        <v>0</v>
      </c>
    </row>
    <row r="171" spans="1:34" s="644" customFormat="1" ht="12.75" customHeight="1">
      <c r="D171" s="755">
        <v>2</v>
      </c>
      <c r="E171" s="758" t="str">
        <f t="shared" si="5"/>
        <v>2A</v>
      </c>
      <c r="F171" s="757" t="str">
        <f t="shared" si="6"/>
        <v>2B</v>
      </c>
      <c r="G171" s="757" t="str">
        <f t="shared" si="7"/>
        <v>2C</v>
      </c>
      <c r="H171" s="756" t="b">
        <f t="shared" si="8"/>
        <v>0</v>
      </c>
    </row>
    <row r="172" spans="1:34" s="644" customFormat="1" ht="12.75" customHeight="1">
      <c r="D172" s="755">
        <v>3</v>
      </c>
      <c r="E172" s="758" t="str">
        <f t="shared" si="5"/>
        <v>3A</v>
      </c>
      <c r="F172" s="757" t="str">
        <f t="shared" si="6"/>
        <v>3B</v>
      </c>
      <c r="G172" s="757" t="b">
        <f t="shared" si="7"/>
        <v>0</v>
      </c>
      <c r="H172" s="756" t="b">
        <f t="shared" si="8"/>
        <v>0</v>
      </c>
    </row>
    <row r="173" spans="1:34" s="644" customFormat="1" ht="12.75" customHeight="1">
      <c r="D173" s="755">
        <v>4</v>
      </c>
      <c r="E173" s="758" t="b">
        <f t="shared" si="5"/>
        <v>0</v>
      </c>
      <c r="F173" s="757" t="b">
        <f t="shared" si="6"/>
        <v>0</v>
      </c>
      <c r="G173" s="757" t="b">
        <f t="shared" si="7"/>
        <v>0</v>
      </c>
      <c r="H173" s="756" t="b">
        <f t="shared" si="8"/>
        <v>0</v>
      </c>
    </row>
    <row r="174" spans="1:34" s="644" customFormat="1" ht="12.75" customHeight="1">
      <c r="D174" s="755">
        <v>5</v>
      </c>
      <c r="E174" s="758" t="b">
        <f t="shared" si="5"/>
        <v>0</v>
      </c>
      <c r="F174" s="757" t="b">
        <f t="shared" si="6"/>
        <v>0</v>
      </c>
      <c r="G174" s="757" t="b">
        <f t="shared" si="7"/>
        <v>0</v>
      </c>
      <c r="H174" s="756" t="b">
        <f t="shared" si="8"/>
        <v>0</v>
      </c>
    </row>
    <row r="175" spans="1:34" s="644" customFormat="1" ht="12.75" customHeight="1">
      <c r="D175" s="755">
        <v>6</v>
      </c>
      <c r="E175" s="758" t="b">
        <f t="shared" si="5"/>
        <v>0</v>
      </c>
      <c r="F175" s="757" t="b">
        <f t="shared" si="6"/>
        <v>0</v>
      </c>
      <c r="G175" s="757" t="b">
        <f t="shared" si="7"/>
        <v>0</v>
      </c>
      <c r="H175" s="756" t="b">
        <f t="shared" si="8"/>
        <v>0</v>
      </c>
    </row>
    <row r="176" spans="1:34" s="644" customFormat="1" ht="12.75" customHeight="1">
      <c r="D176" s="755">
        <v>7</v>
      </c>
      <c r="E176" s="758" t="b">
        <f t="shared" si="5"/>
        <v>0</v>
      </c>
      <c r="F176" s="757" t="b">
        <f t="shared" si="6"/>
        <v>0</v>
      </c>
      <c r="G176" s="757" t="b">
        <f t="shared" si="7"/>
        <v>0</v>
      </c>
      <c r="H176" s="756" t="b">
        <f t="shared" si="8"/>
        <v>0</v>
      </c>
    </row>
    <row r="177" spans="4:8" s="644" customFormat="1" ht="12.75" customHeight="1">
      <c r="D177" s="755">
        <v>8</v>
      </c>
      <c r="E177" s="758" t="b">
        <f t="shared" si="5"/>
        <v>0</v>
      </c>
      <c r="F177" s="757" t="b">
        <f t="shared" si="6"/>
        <v>0</v>
      </c>
      <c r="G177" s="757" t="b">
        <f t="shared" si="7"/>
        <v>0</v>
      </c>
      <c r="H177" s="756" t="b">
        <f t="shared" si="8"/>
        <v>0</v>
      </c>
    </row>
    <row r="178" spans="4:8" s="644" customFormat="1" ht="12.75" customHeight="1">
      <c r="D178" s="755">
        <v>9</v>
      </c>
      <c r="E178" s="758" t="b">
        <f t="shared" si="5"/>
        <v>0</v>
      </c>
      <c r="F178" s="757" t="b">
        <f t="shared" si="6"/>
        <v>0</v>
      </c>
      <c r="G178" s="757" t="b">
        <f t="shared" si="7"/>
        <v>0</v>
      </c>
      <c r="H178" s="756" t="b">
        <f t="shared" si="8"/>
        <v>0</v>
      </c>
    </row>
    <row r="179" spans="4:8" s="644" customFormat="1" ht="12.75" customHeight="1">
      <c r="D179" s="755">
        <v>10</v>
      </c>
      <c r="E179" s="758" t="b">
        <f t="shared" si="5"/>
        <v>0</v>
      </c>
      <c r="F179" s="757" t="b">
        <f t="shared" si="6"/>
        <v>0</v>
      </c>
      <c r="G179" s="757" t="b">
        <f t="shared" si="7"/>
        <v>0</v>
      </c>
      <c r="H179" s="756" t="b">
        <f t="shared" si="8"/>
        <v>0</v>
      </c>
    </row>
    <row r="180" spans="4:8" s="644" customFormat="1" ht="12.75" customHeight="1">
      <c r="D180" s="755">
        <v>11</v>
      </c>
      <c r="E180" s="758" t="b">
        <f t="shared" si="5"/>
        <v>0</v>
      </c>
      <c r="F180" s="757" t="b">
        <f t="shared" si="6"/>
        <v>0</v>
      </c>
      <c r="G180" s="757" t="b">
        <f t="shared" si="7"/>
        <v>0</v>
      </c>
      <c r="H180" s="756" t="b">
        <f t="shared" si="8"/>
        <v>0</v>
      </c>
    </row>
    <row r="181" spans="4:8" s="644" customFormat="1" ht="12.75" customHeight="1">
      <c r="D181" s="755">
        <v>12</v>
      </c>
      <c r="E181" s="758" t="b">
        <f t="shared" si="5"/>
        <v>0</v>
      </c>
      <c r="F181" s="757" t="b">
        <f t="shared" si="6"/>
        <v>0</v>
      </c>
      <c r="G181" s="757" t="b">
        <f t="shared" si="7"/>
        <v>0</v>
      </c>
      <c r="H181" s="756" t="b">
        <f t="shared" si="8"/>
        <v>0</v>
      </c>
    </row>
    <row r="182" spans="4:8" s="644" customFormat="1" ht="12.75" customHeight="1">
      <c r="D182" s="755">
        <v>13</v>
      </c>
      <c r="E182" s="758" t="b">
        <f t="shared" si="5"/>
        <v>0</v>
      </c>
      <c r="F182" s="757" t="b">
        <f t="shared" si="6"/>
        <v>0</v>
      </c>
      <c r="G182" s="757" t="b">
        <f t="shared" si="7"/>
        <v>0</v>
      </c>
      <c r="H182" s="756" t="b">
        <f t="shared" si="8"/>
        <v>0</v>
      </c>
    </row>
    <row r="183" spans="4:8" s="644" customFormat="1" ht="12.75" customHeight="1">
      <c r="D183" s="755">
        <v>14</v>
      </c>
      <c r="E183" s="758" t="b">
        <f t="shared" si="5"/>
        <v>0</v>
      </c>
      <c r="F183" s="757" t="b">
        <f t="shared" si="6"/>
        <v>0</v>
      </c>
      <c r="G183" s="757" t="b">
        <f t="shared" si="7"/>
        <v>0</v>
      </c>
      <c r="H183" s="756" t="b">
        <f t="shared" si="8"/>
        <v>0</v>
      </c>
    </row>
    <row r="184" spans="4:8" s="644" customFormat="1" ht="12.75" customHeight="1">
      <c r="D184" s="755">
        <v>15</v>
      </c>
      <c r="E184" s="758" t="b">
        <f t="shared" si="5"/>
        <v>0</v>
      </c>
      <c r="F184" s="757" t="b">
        <f t="shared" si="6"/>
        <v>0</v>
      </c>
      <c r="G184" s="757" t="b">
        <f t="shared" si="7"/>
        <v>0</v>
      </c>
      <c r="H184" s="756" t="b">
        <f t="shared" si="8"/>
        <v>0</v>
      </c>
    </row>
    <row r="185" spans="4:8" s="644" customFormat="1" ht="12.75" customHeight="1">
      <c r="D185" s="755">
        <v>16</v>
      </c>
      <c r="E185" s="758" t="b">
        <f t="shared" si="5"/>
        <v>0</v>
      </c>
      <c r="F185" s="757" t="b">
        <f t="shared" si="6"/>
        <v>0</v>
      </c>
      <c r="G185" s="757" t="b">
        <f t="shared" si="7"/>
        <v>0</v>
      </c>
      <c r="H185" s="756" t="b">
        <f t="shared" si="8"/>
        <v>0</v>
      </c>
    </row>
    <row r="186" spans="4:8" s="644" customFormat="1" ht="12.75" customHeight="1">
      <c r="D186" s="755">
        <v>17</v>
      </c>
      <c r="E186" s="758" t="b">
        <f t="shared" si="5"/>
        <v>0</v>
      </c>
      <c r="F186" s="757" t="b">
        <f t="shared" si="6"/>
        <v>0</v>
      </c>
      <c r="G186" s="757" t="b">
        <f t="shared" si="7"/>
        <v>0</v>
      </c>
      <c r="H186" s="756" t="b">
        <f t="shared" si="8"/>
        <v>0</v>
      </c>
    </row>
    <row r="187" spans="4:8" s="644" customFormat="1" ht="12.75" customHeight="1">
      <c r="D187" s="755">
        <v>18</v>
      </c>
      <c r="E187" s="758" t="b">
        <f t="shared" si="5"/>
        <v>0</v>
      </c>
      <c r="F187" s="757" t="b">
        <f t="shared" si="6"/>
        <v>0</v>
      </c>
      <c r="G187" s="757" t="b">
        <f t="shared" si="7"/>
        <v>0</v>
      </c>
      <c r="H187" s="756" t="b">
        <f t="shared" si="8"/>
        <v>0</v>
      </c>
    </row>
    <row r="188" spans="4:8" s="644" customFormat="1" ht="12.75" customHeight="1">
      <c r="D188" s="755">
        <v>19</v>
      </c>
      <c r="E188" s="758" t="b">
        <f t="shared" si="5"/>
        <v>0</v>
      </c>
      <c r="F188" s="757" t="b">
        <f t="shared" si="6"/>
        <v>0</v>
      </c>
      <c r="G188" s="757" t="b">
        <f t="shared" si="7"/>
        <v>0</v>
      </c>
      <c r="H188" s="756" t="b">
        <f t="shared" si="8"/>
        <v>0</v>
      </c>
    </row>
    <row r="189" spans="4:8" s="644" customFormat="1" ht="12.75" customHeight="1">
      <c r="D189" s="755">
        <v>20</v>
      </c>
      <c r="E189" s="758" t="b">
        <f t="shared" si="5"/>
        <v>0</v>
      </c>
      <c r="F189" s="757" t="b">
        <f t="shared" si="6"/>
        <v>0</v>
      </c>
      <c r="G189" s="757" t="b">
        <f t="shared" si="7"/>
        <v>0</v>
      </c>
      <c r="H189" s="756" t="b">
        <f t="shared" si="8"/>
        <v>0</v>
      </c>
    </row>
    <row r="190" spans="4:8" s="644" customFormat="1" ht="12.75" customHeight="1">
      <c r="D190" s="755">
        <v>21</v>
      </c>
      <c r="E190" s="758" t="b">
        <f t="shared" si="5"/>
        <v>0</v>
      </c>
      <c r="F190" s="757" t="b">
        <f t="shared" si="6"/>
        <v>0</v>
      </c>
      <c r="G190" s="757" t="b">
        <f t="shared" si="7"/>
        <v>0</v>
      </c>
      <c r="H190" s="756" t="b">
        <f t="shared" si="8"/>
        <v>0</v>
      </c>
    </row>
    <row r="191" spans="4:8" s="644" customFormat="1" ht="12.75" customHeight="1">
      <c r="D191" s="755">
        <v>22</v>
      </c>
      <c r="E191" s="754" t="b">
        <f t="shared" si="5"/>
        <v>0</v>
      </c>
      <c r="F191" s="753" t="b">
        <f t="shared" si="6"/>
        <v>0</v>
      </c>
      <c r="G191" s="753" t="b">
        <f t="shared" si="7"/>
        <v>0</v>
      </c>
      <c r="H191" s="752" t="b">
        <f t="shared" si="8"/>
        <v>0</v>
      </c>
    </row>
    <row r="192" spans="4:8" s="644" customFormat="1" ht="12.75" customHeight="1">
      <c r="H192" s="644" t="s">
        <v>2247</v>
      </c>
    </row>
    <row r="193" spans="4:7" s="644" customFormat="1" ht="12.75" customHeight="1"/>
    <row r="194" spans="4:7" s="747" customFormat="1" ht="12.75" customHeight="1">
      <c r="D194" s="751" t="s">
        <v>156</v>
      </c>
      <c r="E194" s="750" t="s">
        <v>157</v>
      </c>
      <c r="F194" s="749" t="s">
        <v>159</v>
      </c>
    </row>
    <row r="195" spans="4:7" s="747" customFormat="1" ht="12.75" customHeight="1">
      <c r="D195" s="747">
        <v>1</v>
      </c>
      <c r="E195" s="748" t="str">
        <f t="shared" ref="E195:E226" si="9">INDEX(xxPopupWobblerValid,INT((ROW($D195)-ROW($D$195))/4)+1,MOD(ROW($D195)-ROW($D$195),4)+1)</f>
        <v>1A</v>
      </c>
      <c r="F195" s="748">
        <f>G195</f>
        <v>1</v>
      </c>
      <c r="G195" s="1256">
        <f>IF(AND(E195&lt;&gt;FALSE, E195&lt;&gt;0),1,0)</f>
        <v>1</v>
      </c>
    </row>
    <row r="196" spans="4:7" s="747" customFormat="1" ht="12.75" customHeight="1">
      <c r="D196" s="747">
        <v>2</v>
      </c>
      <c r="E196" s="748" t="str">
        <f t="shared" si="9"/>
        <v>1B</v>
      </c>
      <c r="F196" s="748">
        <f>F195+G196</f>
        <v>2</v>
      </c>
      <c r="G196" s="1256">
        <f t="shared" ref="G196:G259" si="10">IF(AND(E196&lt;&gt;FALSE, E196&lt;&gt;0),1,0)</f>
        <v>1</v>
      </c>
    </row>
    <row r="197" spans="4:7" s="747" customFormat="1" ht="12.75" customHeight="1">
      <c r="D197" s="747">
        <v>3</v>
      </c>
      <c r="E197" s="748" t="b">
        <f t="shared" si="9"/>
        <v>0</v>
      </c>
      <c r="F197" s="748">
        <f t="shared" ref="F197:F260" si="11">F196+G197</f>
        <v>2</v>
      </c>
      <c r="G197" s="1256">
        <f t="shared" si="10"/>
        <v>0</v>
      </c>
    </row>
    <row r="198" spans="4:7" s="747" customFormat="1" ht="12.75" customHeight="1">
      <c r="D198" s="747">
        <v>4</v>
      </c>
      <c r="E198" s="748" t="b">
        <f t="shared" si="9"/>
        <v>0</v>
      </c>
      <c r="F198" s="748">
        <f t="shared" si="11"/>
        <v>2</v>
      </c>
      <c r="G198" s="1256">
        <f t="shared" si="10"/>
        <v>0</v>
      </c>
    </row>
    <row r="199" spans="4:7" s="747" customFormat="1" ht="12.75" customHeight="1">
      <c r="D199" s="747">
        <v>5</v>
      </c>
      <c r="E199" s="748" t="str">
        <f t="shared" si="9"/>
        <v>2A</v>
      </c>
      <c r="F199" s="748">
        <f t="shared" si="11"/>
        <v>3</v>
      </c>
      <c r="G199" s="1256">
        <f t="shared" si="10"/>
        <v>1</v>
      </c>
    </row>
    <row r="200" spans="4:7" s="747" customFormat="1" ht="12.75" customHeight="1">
      <c r="D200" s="747">
        <v>6</v>
      </c>
      <c r="E200" s="748" t="str">
        <f t="shared" si="9"/>
        <v>2B</v>
      </c>
      <c r="F200" s="748">
        <f t="shared" si="11"/>
        <v>4</v>
      </c>
      <c r="G200" s="1256">
        <f t="shared" si="10"/>
        <v>1</v>
      </c>
    </row>
    <row r="201" spans="4:7" s="747" customFormat="1" ht="12.75" customHeight="1">
      <c r="D201" s="747">
        <v>7</v>
      </c>
      <c r="E201" s="748" t="str">
        <f t="shared" si="9"/>
        <v>2C</v>
      </c>
      <c r="F201" s="748">
        <f t="shared" si="11"/>
        <v>5</v>
      </c>
      <c r="G201" s="1256">
        <f t="shared" si="10"/>
        <v>1</v>
      </c>
    </row>
    <row r="202" spans="4:7" s="747" customFormat="1" ht="12.75" customHeight="1">
      <c r="D202" s="747">
        <v>8</v>
      </c>
      <c r="E202" s="748" t="b">
        <f t="shared" si="9"/>
        <v>0</v>
      </c>
      <c r="F202" s="748">
        <f t="shared" si="11"/>
        <v>5</v>
      </c>
      <c r="G202" s="1256">
        <f t="shared" si="10"/>
        <v>0</v>
      </c>
    </row>
    <row r="203" spans="4:7" s="747" customFormat="1" ht="12.75" customHeight="1">
      <c r="D203" s="747">
        <v>9</v>
      </c>
      <c r="E203" s="748" t="str">
        <f t="shared" si="9"/>
        <v>3A</v>
      </c>
      <c r="F203" s="748">
        <f t="shared" si="11"/>
        <v>6</v>
      </c>
      <c r="G203" s="1256">
        <f t="shared" si="10"/>
        <v>1</v>
      </c>
    </row>
    <row r="204" spans="4:7" s="747" customFormat="1" ht="12.75" customHeight="1">
      <c r="D204" s="747">
        <v>10</v>
      </c>
      <c r="E204" s="748" t="str">
        <f t="shared" si="9"/>
        <v>3B</v>
      </c>
      <c r="F204" s="748">
        <f t="shared" si="11"/>
        <v>7</v>
      </c>
      <c r="G204" s="1256">
        <f t="shared" si="10"/>
        <v>1</v>
      </c>
    </row>
    <row r="205" spans="4:7" s="747" customFormat="1" ht="12.75" customHeight="1">
      <c r="D205" s="747">
        <v>11</v>
      </c>
      <c r="E205" s="748" t="b">
        <f t="shared" si="9"/>
        <v>0</v>
      </c>
      <c r="F205" s="748">
        <f t="shared" si="11"/>
        <v>7</v>
      </c>
      <c r="G205" s="1256">
        <f t="shared" si="10"/>
        <v>0</v>
      </c>
    </row>
    <row r="206" spans="4:7" s="747" customFormat="1" ht="12.75" customHeight="1">
      <c r="D206" s="747">
        <v>12</v>
      </c>
      <c r="E206" s="748" t="b">
        <f t="shared" si="9"/>
        <v>0</v>
      </c>
      <c r="F206" s="748">
        <f t="shared" si="11"/>
        <v>7</v>
      </c>
      <c r="G206" s="1256">
        <f t="shared" si="10"/>
        <v>0</v>
      </c>
    </row>
    <row r="207" spans="4:7" s="747" customFormat="1" ht="12.75" customHeight="1">
      <c r="D207" s="747">
        <v>13</v>
      </c>
      <c r="E207" s="748" t="b">
        <f t="shared" si="9"/>
        <v>0</v>
      </c>
      <c r="F207" s="748">
        <f t="shared" si="11"/>
        <v>7</v>
      </c>
      <c r="G207" s="1256">
        <f t="shared" si="10"/>
        <v>0</v>
      </c>
    </row>
    <row r="208" spans="4:7" s="747" customFormat="1" ht="12.75" customHeight="1">
      <c r="D208" s="747">
        <v>14</v>
      </c>
      <c r="E208" s="748" t="b">
        <f t="shared" si="9"/>
        <v>0</v>
      </c>
      <c r="F208" s="748">
        <f t="shared" si="11"/>
        <v>7</v>
      </c>
      <c r="G208" s="1256">
        <f t="shared" si="10"/>
        <v>0</v>
      </c>
    </row>
    <row r="209" spans="4:7" s="747" customFormat="1" ht="12.75" customHeight="1">
      <c r="D209" s="747">
        <v>15</v>
      </c>
      <c r="E209" s="748" t="b">
        <f t="shared" si="9"/>
        <v>0</v>
      </c>
      <c r="F209" s="748">
        <f t="shared" si="11"/>
        <v>7</v>
      </c>
      <c r="G209" s="1256">
        <f t="shared" si="10"/>
        <v>0</v>
      </c>
    </row>
    <row r="210" spans="4:7" s="747" customFormat="1" ht="12.75" customHeight="1">
      <c r="D210" s="747">
        <v>16</v>
      </c>
      <c r="E210" s="748" t="b">
        <f t="shared" si="9"/>
        <v>0</v>
      </c>
      <c r="F210" s="748">
        <f t="shared" si="11"/>
        <v>7</v>
      </c>
      <c r="G210" s="1256">
        <f t="shared" si="10"/>
        <v>0</v>
      </c>
    </row>
    <row r="211" spans="4:7" s="747" customFormat="1" ht="12.75" customHeight="1">
      <c r="D211" s="747">
        <v>17</v>
      </c>
      <c r="E211" s="748" t="b">
        <f t="shared" si="9"/>
        <v>0</v>
      </c>
      <c r="F211" s="748">
        <f t="shared" si="11"/>
        <v>7</v>
      </c>
      <c r="G211" s="1256">
        <f t="shared" si="10"/>
        <v>0</v>
      </c>
    </row>
    <row r="212" spans="4:7" s="747" customFormat="1" ht="12.75" customHeight="1">
      <c r="D212" s="747">
        <v>18</v>
      </c>
      <c r="E212" s="748" t="b">
        <f t="shared" si="9"/>
        <v>0</v>
      </c>
      <c r="F212" s="748">
        <f t="shared" si="11"/>
        <v>7</v>
      </c>
      <c r="G212" s="1256">
        <f t="shared" si="10"/>
        <v>0</v>
      </c>
    </row>
    <row r="213" spans="4:7" s="747" customFormat="1" ht="12.75" customHeight="1">
      <c r="D213" s="747">
        <v>19</v>
      </c>
      <c r="E213" s="748" t="b">
        <f t="shared" si="9"/>
        <v>0</v>
      </c>
      <c r="F213" s="748">
        <f t="shared" si="11"/>
        <v>7</v>
      </c>
      <c r="G213" s="1256">
        <f t="shared" si="10"/>
        <v>0</v>
      </c>
    </row>
    <row r="214" spans="4:7" s="747" customFormat="1" ht="12.75" customHeight="1">
      <c r="D214" s="747">
        <v>20</v>
      </c>
      <c r="E214" s="748" t="b">
        <f t="shared" si="9"/>
        <v>0</v>
      </c>
      <c r="F214" s="748">
        <f t="shared" si="11"/>
        <v>7</v>
      </c>
      <c r="G214" s="1256">
        <f t="shared" si="10"/>
        <v>0</v>
      </c>
    </row>
    <row r="215" spans="4:7" s="747" customFormat="1" ht="12.75" customHeight="1">
      <c r="D215" s="747">
        <v>21</v>
      </c>
      <c r="E215" s="748" t="b">
        <f t="shared" si="9"/>
        <v>0</v>
      </c>
      <c r="F215" s="748">
        <f t="shared" si="11"/>
        <v>7</v>
      </c>
      <c r="G215" s="1256">
        <f t="shared" si="10"/>
        <v>0</v>
      </c>
    </row>
    <row r="216" spans="4:7" s="747" customFormat="1" ht="12.75" customHeight="1">
      <c r="D216" s="747">
        <v>22</v>
      </c>
      <c r="E216" s="748" t="b">
        <f t="shared" si="9"/>
        <v>0</v>
      </c>
      <c r="F216" s="748">
        <f t="shared" si="11"/>
        <v>7</v>
      </c>
      <c r="G216" s="1256">
        <f t="shared" si="10"/>
        <v>0</v>
      </c>
    </row>
    <row r="217" spans="4:7" s="747" customFormat="1" ht="12.75" customHeight="1">
      <c r="D217" s="747">
        <v>23</v>
      </c>
      <c r="E217" s="748" t="b">
        <f t="shared" si="9"/>
        <v>0</v>
      </c>
      <c r="F217" s="748">
        <f t="shared" si="11"/>
        <v>7</v>
      </c>
      <c r="G217" s="1256">
        <f t="shared" si="10"/>
        <v>0</v>
      </c>
    </row>
    <row r="218" spans="4:7" s="747" customFormat="1" ht="12.75" customHeight="1">
      <c r="D218" s="747">
        <v>24</v>
      </c>
      <c r="E218" s="748" t="b">
        <f t="shared" si="9"/>
        <v>0</v>
      </c>
      <c r="F218" s="748">
        <f t="shared" si="11"/>
        <v>7</v>
      </c>
      <c r="G218" s="1256">
        <f t="shared" si="10"/>
        <v>0</v>
      </c>
    </row>
    <row r="219" spans="4:7" s="747" customFormat="1" ht="12.75" customHeight="1">
      <c r="D219" s="747">
        <v>25</v>
      </c>
      <c r="E219" s="748" t="b">
        <f t="shared" si="9"/>
        <v>0</v>
      </c>
      <c r="F219" s="748">
        <f t="shared" si="11"/>
        <v>7</v>
      </c>
      <c r="G219" s="1256">
        <f t="shared" si="10"/>
        <v>0</v>
      </c>
    </row>
    <row r="220" spans="4:7" s="747" customFormat="1" ht="12.75" customHeight="1">
      <c r="D220" s="747">
        <v>26</v>
      </c>
      <c r="E220" s="748" t="b">
        <f t="shared" si="9"/>
        <v>0</v>
      </c>
      <c r="F220" s="748">
        <f t="shared" si="11"/>
        <v>7</v>
      </c>
      <c r="G220" s="1256">
        <f t="shared" si="10"/>
        <v>0</v>
      </c>
    </row>
    <row r="221" spans="4:7" s="747" customFormat="1" ht="12.75" customHeight="1">
      <c r="D221" s="747">
        <v>27</v>
      </c>
      <c r="E221" s="748" t="b">
        <f t="shared" si="9"/>
        <v>0</v>
      </c>
      <c r="F221" s="748">
        <f t="shared" si="11"/>
        <v>7</v>
      </c>
      <c r="G221" s="1256">
        <f t="shared" si="10"/>
        <v>0</v>
      </c>
    </row>
    <row r="222" spans="4:7" s="747" customFormat="1" ht="12.75" customHeight="1">
      <c r="D222" s="747">
        <v>28</v>
      </c>
      <c r="E222" s="748" t="b">
        <f t="shared" si="9"/>
        <v>0</v>
      </c>
      <c r="F222" s="748">
        <f t="shared" si="11"/>
        <v>7</v>
      </c>
      <c r="G222" s="1256">
        <f t="shared" si="10"/>
        <v>0</v>
      </c>
    </row>
    <row r="223" spans="4:7" s="747" customFormat="1" ht="12.75" customHeight="1">
      <c r="D223" s="747">
        <v>29</v>
      </c>
      <c r="E223" s="748" t="b">
        <f t="shared" si="9"/>
        <v>0</v>
      </c>
      <c r="F223" s="748">
        <f t="shared" si="11"/>
        <v>7</v>
      </c>
      <c r="G223" s="1256">
        <f t="shared" si="10"/>
        <v>0</v>
      </c>
    </row>
    <row r="224" spans="4:7" s="747" customFormat="1" ht="12.75" customHeight="1">
      <c r="D224" s="747">
        <v>30</v>
      </c>
      <c r="E224" s="748" t="b">
        <f t="shared" si="9"/>
        <v>0</v>
      </c>
      <c r="F224" s="748">
        <f t="shared" si="11"/>
        <v>7</v>
      </c>
      <c r="G224" s="1256">
        <f t="shared" si="10"/>
        <v>0</v>
      </c>
    </row>
    <row r="225" spans="4:7" s="747" customFormat="1" ht="12.75" customHeight="1">
      <c r="D225" s="747">
        <v>31</v>
      </c>
      <c r="E225" s="748" t="b">
        <f t="shared" si="9"/>
        <v>0</v>
      </c>
      <c r="F225" s="748">
        <f t="shared" si="11"/>
        <v>7</v>
      </c>
      <c r="G225" s="1256">
        <f t="shared" si="10"/>
        <v>0</v>
      </c>
    </row>
    <row r="226" spans="4:7" s="747" customFormat="1" ht="12.75" customHeight="1">
      <c r="D226" s="747">
        <v>32</v>
      </c>
      <c r="E226" s="748" t="b">
        <f t="shared" si="9"/>
        <v>0</v>
      </c>
      <c r="F226" s="748">
        <f t="shared" si="11"/>
        <v>7</v>
      </c>
      <c r="G226" s="1256">
        <f t="shared" si="10"/>
        <v>0</v>
      </c>
    </row>
    <row r="227" spans="4:7" s="747" customFormat="1" ht="12.75" customHeight="1">
      <c r="D227" s="747">
        <v>33</v>
      </c>
      <c r="E227" s="748" t="b">
        <f t="shared" ref="E227:E258" si="12">INDEX(xxPopupWobblerValid,INT((ROW($D227)-ROW($D$195))/4)+1,MOD(ROW($D227)-ROW($D$195),4)+1)</f>
        <v>0</v>
      </c>
      <c r="F227" s="748">
        <f t="shared" si="11"/>
        <v>7</v>
      </c>
      <c r="G227" s="1256">
        <f t="shared" si="10"/>
        <v>0</v>
      </c>
    </row>
    <row r="228" spans="4:7" s="747" customFormat="1" ht="12.75" customHeight="1">
      <c r="D228" s="747">
        <v>34</v>
      </c>
      <c r="E228" s="748" t="b">
        <f t="shared" si="12"/>
        <v>0</v>
      </c>
      <c r="F228" s="748">
        <f t="shared" si="11"/>
        <v>7</v>
      </c>
      <c r="G228" s="1256">
        <f t="shared" si="10"/>
        <v>0</v>
      </c>
    </row>
    <row r="229" spans="4:7" s="747" customFormat="1" ht="12.75" customHeight="1">
      <c r="D229" s="747">
        <v>35</v>
      </c>
      <c r="E229" s="748" t="b">
        <f t="shared" si="12"/>
        <v>0</v>
      </c>
      <c r="F229" s="748">
        <f t="shared" si="11"/>
        <v>7</v>
      </c>
      <c r="G229" s="1256">
        <f t="shared" si="10"/>
        <v>0</v>
      </c>
    </row>
    <row r="230" spans="4:7" s="747" customFormat="1" ht="12.75" customHeight="1">
      <c r="D230" s="747">
        <v>36</v>
      </c>
      <c r="E230" s="748" t="b">
        <f t="shared" si="12"/>
        <v>0</v>
      </c>
      <c r="F230" s="748">
        <f t="shared" si="11"/>
        <v>7</v>
      </c>
      <c r="G230" s="1256">
        <f t="shared" si="10"/>
        <v>0</v>
      </c>
    </row>
    <row r="231" spans="4:7" s="747" customFormat="1" ht="12.75" customHeight="1">
      <c r="D231" s="747">
        <v>37</v>
      </c>
      <c r="E231" s="748" t="b">
        <f t="shared" si="12"/>
        <v>0</v>
      </c>
      <c r="F231" s="748">
        <f t="shared" si="11"/>
        <v>7</v>
      </c>
      <c r="G231" s="1256">
        <f t="shared" si="10"/>
        <v>0</v>
      </c>
    </row>
    <row r="232" spans="4:7" s="747" customFormat="1" ht="12.75" customHeight="1">
      <c r="D232" s="747">
        <v>38</v>
      </c>
      <c r="E232" s="748" t="b">
        <f t="shared" si="12"/>
        <v>0</v>
      </c>
      <c r="F232" s="748">
        <f t="shared" si="11"/>
        <v>7</v>
      </c>
      <c r="G232" s="1256">
        <f t="shared" si="10"/>
        <v>0</v>
      </c>
    </row>
    <row r="233" spans="4:7" s="747" customFormat="1" ht="12.75" customHeight="1">
      <c r="D233" s="747">
        <v>39</v>
      </c>
      <c r="E233" s="748" t="b">
        <f t="shared" si="12"/>
        <v>0</v>
      </c>
      <c r="F233" s="748">
        <f t="shared" si="11"/>
        <v>7</v>
      </c>
      <c r="G233" s="1256">
        <f t="shared" si="10"/>
        <v>0</v>
      </c>
    </row>
    <row r="234" spans="4:7" s="747" customFormat="1" ht="12.75" customHeight="1">
      <c r="D234" s="747">
        <v>40</v>
      </c>
      <c r="E234" s="748" t="b">
        <f t="shared" si="12"/>
        <v>0</v>
      </c>
      <c r="F234" s="748">
        <f t="shared" si="11"/>
        <v>7</v>
      </c>
      <c r="G234" s="1256">
        <f t="shared" si="10"/>
        <v>0</v>
      </c>
    </row>
    <row r="235" spans="4:7" s="747" customFormat="1" ht="12.75" customHeight="1">
      <c r="D235" s="747">
        <v>41</v>
      </c>
      <c r="E235" s="748" t="b">
        <f t="shared" si="12"/>
        <v>0</v>
      </c>
      <c r="F235" s="748">
        <f t="shared" si="11"/>
        <v>7</v>
      </c>
      <c r="G235" s="1256">
        <f t="shared" si="10"/>
        <v>0</v>
      </c>
    </row>
    <row r="236" spans="4:7" s="747" customFormat="1" ht="12.75" customHeight="1">
      <c r="D236" s="747">
        <v>42</v>
      </c>
      <c r="E236" s="748" t="b">
        <f t="shared" si="12"/>
        <v>0</v>
      </c>
      <c r="F236" s="748">
        <f t="shared" si="11"/>
        <v>7</v>
      </c>
      <c r="G236" s="1256">
        <f t="shared" si="10"/>
        <v>0</v>
      </c>
    </row>
    <row r="237" spans="4:7" s="747" customFormat="1" ht="12.75" customHeight="1">
      <c r="D237" s="747">
        <v>43</v>
      </c>
      <c r="E237" s="748" t="b">
        <f t="shared" si="12"/>
        <v>0</v>
      </c>
      <c r="F237" s="748">
        <f t="shared" si="11"/>
        <v>7</v>
      </c>
      <c r="G237" s="1256">
        <f t="shared" si="10"/>
        <v>0</v>
      </c>
    </row>
    <row r="238" spans="4:7" s="747" customFormat="1" ht="12.75" customHeight="1">
      <c r="D238" s="747">
        <v>44</v>
      </c>
      <c r="E238" s="748" t="b">
        <f t="shared" si="12"/>
        <v>0</v>
      </c>
      <c r="F238" s="748">
        <f t="shared" si="11"/>
        <v>7</v>
      </c>
      <c r="G238" s="1256">
        <f t="shared" si="10"/>
        <v>0</v>
      </c>
    </row>
    <row r="239" spans="4:7" s="747" customFormat="1" ht="12.75" customHeight="1">
      <c r="D239" s="747">
        <v>45</v>
      </c>
      <c r="E239" s="748" t="b">
        <f t="shared" si="12"/>
        <v>0</v>
      </c>
      <c r="F239" s="748">
        <f t="shared" si="11"/>
        <v>7</v>
      </c>
      <c r="G239" s="1256">
        <f t="shared" si="10"/>
        <v>0</v>
      </c>
    </row>
    <row r="240" spans="4:7" s="747" customFormat="1" ht="12.75" customHeight="1">
      <c r="D240" s="747">
        <v>46</v>
      </c>
      <c r="E240" s="748" t="b">
        <f t="shared" si="12"/>
        <v>0</v>
      </c>
      <c r="F240" s="748">
        <f t="shared" si="11"/>
        <v>7</v>
      </c>
      <c r="G240" s="1256">
        <f t="shared" si="10"/>
        <v>0</v>
      </c>
    </row>
    <row r="241" spans="4:7" s="747" customFormat="1" ht="12.75" customHeight="1">
      <c r="D241" s="747">
        <v>47</v>
      </c>
      <c r="E241" s="748" t="b">
        <f t="shared" si="12"/>
        <v>0</v>
      </c>
      <c r="F241" s="748">
        <f t="shared" si="11"/>
        <v>7</v>
      </c>
      <c r="G241" s="1256">
        <f t="shared" si="10"/>
        <v>0</v>
      </c>
    </row>
    <row r="242" spans="4:7" s="747" customFormat="1" ht="12.75" customHeight="1">
      <c r="D242" s="747">
        <v>48</v>
      </c>
      <c r="E242" s="748" t="b">
        <f t="shared" si="12"/>
        <v>0</v>
      </c>
      <c r="F242" s="748">
        <f t="shared" si="11"/>
        <v>7</v>
      </c>
      <c r="G242" s="1256">
        <f t="shared" si="10"/>
        <v>0</v>
      </c>
    </row>
    <row r="243" spans="4:7" s="747" customFormat="1" ht="12.75" customHeight="1">
      <c r="D243" s="747">
        <v>49</v>
      </c>
      <c r="E243" s="748" t="b">
        <f t="shared" si="12"/>
        <v>0</v>
      </c>
      <c r="F243" s="748">
        <f t="shared" si="11"/>
        <v>7</v>
      </c>
      <c r="G243" s="1256">
        <f t="shared" si="10"/>
        <v>0</v>
      </c>
    </row>
    <row r="244" spans="4:7" s="747" customFormat="1" ht="12.75" customHeight="1">
      <c r="D244" s="747">
        <v>50</v>
      </c>
      <c r="E244" s="748" t="b">
        <f t="shared" si="12"/>
        <v>0</v>
      </c>
      <c r="F244" s="748">
        <f t="shared" si="11"/>
        <v>7</v>
      </c>
      <c r="G244" s="1256">
        <f t="shared" si="10"/>
        <v>0</v>
      </c>
    </row>
    <row r="245" spans="4:7" s="747" customFormat="1" ht="12.75" customHeight="1">
      <c r="D245" s="747">
        <v>51</v>
      </c>
      <c r="E245" s="748" t="b">
        <f t="shared" si="12"/>
        <v>0</v>
      </c>
      <c r="F245" s="748">
        <f t="shared" si="11"/>
        <v>7</v>
      </c>
      <c r="G245" s="1256">
        <f t="shared" si="10"/>
        <v>0</v>
      </c>
    </row>
    <row r="246" spans="4:7" s="747" customFormat="1" ht="12.75" customHeight="1">
      <c r="D246" s="747">
        <v>52</v>
      </c>
      <c r="E246" s="748" t="b">
        <f t="shared" si="12"/>
        <v>0</v>
      </c>
      <c r="F246" s="748">
        <f t="shared" si="11"/>
        <v>7</v>
      </c>
      <c r="G246" s="1256">
        <f t="shared" si="10"/>
        <v>0</v>
      </c>
    </row>
    <row r="247" spans="4:7" s="747" customFormat="1" ht="12.75" customHeight="1">
      <c r="D247" s="747">
        <v>53</v>
      </c>
      <c r="E247" s="748" t="b">
        <f t="shared" si="12"/>
        <v>0</v>
      </c>
      <c r="F247" s="748">
        <f t="shared" si="11"/>
        <v>7</v>
      </c>
      <c r="G247" s="1256">
        <f t="shared" si="10"/>
        <v>0</v>
      </c>
    </row>
    <row r="248" spans="4:7" s="747" customFormat="1" ht="12.75" customHeight="1">
      <c r="D248" s="747">
        <v>54</v>
      </c>
      <c r="E248" s="748" t="b">
        <f t="shared" si="12"/>
        <v>0</v>
      </c>
      <c r="F248" s="748">
        <f t="shared" si="11"/>
        <v>7</v>
      </c>
      <c r="G248" s="1256">
        <f t="shared" si="10"/>
        <v>0</v>
      </c>
    </row>
    <row r="249" spans="4:7" s="747" customFormat="1" ht="12.75" customHeight="1">
      <c r="D249" s="747">
        <v>55</v>
      </c>
      <c r="E249" s="748" t="b">
        <f t="shared" si="12"/>
        <v>0</v>
      </c>
      <c r="F249" s="748">
        <f t="shared" si="11"/>
        <v>7</v>
      </c>
      <c r="G249" s="1256">
        <f t="shared" si="10"/>
        <v>0</v>
      </c>
    </row>
    <row r="250" spans="4:7" s="747" customFormat="1" ht="12.75" customHeight="1">
      <c r="D250" s="747">
        <v>56</v>
      </c>
      <c r="E250" s="748" t="b">
        <f t="shared" si="12"/>
        <v>0</v>
      </c>
      <c r="F250" s="748">
        <f t="shared" si="11"/>
        <v>7</v>
      </c>
      <c r="G250" s="1256">
        <f t="shared" si="10"/>
        <v>0</v>
      </c>
    </row>
    <row r="251" spans="4:7" s="747" customFormat="1" ht="12.75" customHeight="1">
      <c r="D251" s="747">
        <v>57</v>
      </c>
      <c r="E251" s="748" t="b">
        <f t="shared" si="12"/>
        <v>0</v>
      </c>
      <c r="F251" s="748">
        <f t="shared" si="11"/>
        <v>7</v>
      </c>
      <c r="G251" s="1256">
        <f t="shared" si="10"/>
        <v>0</v>
      </c>
    </row>
    <row r="252" spans="4:7" s="747" customFormat="1" ht="12.75" customHeight="1">
      <c r="D252" s="747">
        <v>58</v>
      </c>
      <c r="E252" s="748" t="b">
        <f t="shared" si="12"/>
        <v>0</v>
      </c>
      <c r="F252" s="748">
        <f t="shared" si="11"/>
        <v>7</v>
      </c>
      <c r="G252" s="1256">
        <f t="shared" si="10"/>
        <v>0</v>
      </c>
    </row>
    <row r="253" spans="4:7" s="747" customFormat="1" ht="12.75" customHeight="1">
      <c r="D253" s="747">
        <v>59</v>
      </c>
      <c r="E253" s="748" t="b">
        <f t="shared" si="12"/>
        <v>0</v>
      </c>
      <c r="F253" s="748">
        <f t="shared" si="11"/>
        <v>7</v>
      </c>
      <c r="G253" s="1256">
        <f t="shared" si="10"/>
        <v>0</v>
      </c>
    </row>
    <row r="254" spans="4:7" s="747" customFormat="1" ht="12.75" customHeight="1">
      <c r="D254" s="747">
        <v>60</v>
      </c>
      <c r="E254" s="748" t="b">
        <f t="shared" si="12"/>
        <v>0</v>
      </c>
      <c r="F254" s="748">
        <f t="shared" si="11"/>
        <v>7</v>
      </c>
      <c r="G254" s="1256">
        <f t="shared" si="10"/>
        <v>0</v>
      </c>
    </row>
    <row r="255" spans="4:7" s="747" customFormat="1" ht="12.75" customHeight="1">
      <c r="D255" s="747">
        <v>61</v>
      </c>
      <c r="E255" s="748" t="b">
        <f t="shared" si="12"/>
        <v>0</v>
      </c>
      <c r="F255" s="748">
        <f t="shared" si="11"/>
        <v>7</v>
      </c>
      <c r="G255" s="1256">
        <f t="shared" si="10"/>
        <v>0</v>
      </c>
    </row>
    <row r="256" spans="4:7" s="747" customFormat="1" ht="12.75" customHeight="1">
      <c r="D256" s="747">
        <v>62</v>
      </c>
      <c r="E256" s="748" t="b">
        <f t="shared" si="12"/>
        <v>0</v>
      </c>
      <c r="F256" s="748">
        <f t="shared" si="11"/>
        <v>7</v>
      </c>
      <c r="G256" s="1256">
        <f t="shared" si="10"/>
        <v>0</v>
      </c>
    </row>
    <row r="257" spans="4:7" s="747" customFormat="1" ht="12.75" customHeight="1">
      <c r="D257" s="747">
        <v>63</v>
      </c>
      <c r="E257" s="748" t="b">
        <f t="shared" si="12"/>
        <v>0</v>
      </c>
      <c r="F257" s="748">
        <f t="shared" si="11"/>
        <v>7</v>
      </c>
      <c r="G257" s="1256">
        <f t="shared" si="10"/>
        <v>0</v>
      </c>
    </row>
    <row r="258" spans="4:7" s="747" customFormat="1" ht="12.75" customHeight="1">
      <c r="D258" s="747">
        <v>64</v>
      </c>
      <c r="E258" s="748" t="b">
        <f t="shared" si="12"/>
        <v>0</v>
      </c>
      <c r="F258" s="748">
        <f t="shared" si="11"/>
        <v>7</v>
      </c>
      <c r="G258" s="1256">
        <f t="shared" si="10"/>
        <v>0</v>
      </c>
    </row>
    <row r="259" spans="4:7" s="747" customFormat="1" ht="12.75" customHeight="1">
      <c r="D259" s="747">
        <v>65</v>
      </c>
      <c r="E259" s="748" t="b">
        <f t="shared" ref="E259:E282" si="13">INDEX(xxPopupWobblerValid,INT((ROW($D259)-ROW($D$195))/4)+1,MOD(ROW($D259)-ROW($D$195),4)+1)</f>
        <v>0</v>
      </c>
      <c r="F259" s="748">
        <f t="shared" si="11"/>
        <v>7</v>
      </c>
      <c r="G259" s="1256">
        <f t="shared" si="10"/>
        <v>0</v>
      </c>
    </row>
    <row r="260" spans="4:7" s="747" customFormat="1" ht="12.75" customHeight="1">
      <c r="D260" s="747">
        <v>66</v>
      </c>
      <c r="E260" s="748" t="b">
        <f t="shared" si="13"/>
        <v>0</v>
      </c>
      <c r="F260" s="748">
        <f t="shared" si="11"/>
        <v>7</v>
      </c>
      <c r="G260" s="1256">
        <f t="shared" ref="G260:G282" si="14">IF(AND(E260&lt;&gt;FALSE, E260&lt;&gt;0),1,0)</f>
        <v>0</v>
      </c>
    </row>
    <row r="261" spans="4:7" s="747" customFormat="1" ht="12.75" customHeight="1">
      <c r="D261" s="747">
        <v>67</v>
      </c>
      <c r="E261" s="748" t="b">
        <f t="shared" si="13"/>
        <v>0</v>
      </c>
      <c r="F261" s="748">
        <f t="shared" ref="F261:F282" si="15">F260+G261</f>
        <v>7</v>
      </c>
      <c r="G261" s="1256">
        <f t="shared" si="14"/>
        <v>0</v>
      </c>
    </row>
    <row r="262" spans="4:7" s="747" customFormat="1" ht="12.75" customHeight="1">
      <c r="D262" s="747">
        <v>68</v>
      </c>
      <c r="E262" s="748" t="b">
        <f t="shared" si="13"/>
        <v>0</v>
      </c>
      <c r="F262" s="748">
        <f t="shared" si="15"/>
        <v>7</v>
      </c>
      <c r="G262" s="1256">
        <f t="shared" si="14"/>
        <v>0</v>
      </c>
    </row>
    <row r="263" spans="4:7" s="747" customFormat="1" ht="12.75" customHeight="1">
      <c r="D263" s="747">
        <v>69</v>
      </c>
      <c r="E263" s="748" t="b">
        <f t="shared" si="13"/>
        <v>0</v>
      </c>
      <c r="F263" s="748">
        <f t="shared" si="15"/>
        <v>7</v>
      </c>
      <c r="G263" s="1256">
        <f t="shared" si="14"/>
        <v>0</v>
      </c>
    </row>
    <row r="264" spans="4:7" s="747" customFormat="1" ht="12.75" customHeight="1">
      <c r="D264" s="747">
        <v>70</v>
      </c>
      <c r="E264" s="748" t="b">
        <f t="shared" si="13"/>
        <v>0</v>
      </c>
      <c r="F264" s="748">
        <f t="shared" si="15"/>
        <v>7</v>
      </c>
      <c r="G264" s="1256">
        <f t="shared" si="14"/>
        <v>0</v>
      </c>
    </row>
    <row r="265" spans="4:7" s="747" customFormat="1" ht="12.75" customHeight="1">
      <c r="D265" s="747">
        <v>71</v>
      </c>
      <c r="E265" s="748" t="b">
        <f t="shared" si="13"/>
        <v>0</v>
      </c>
      <c r="F265" s="748">
        <f t="shared" si="15"/>
        <v>7</v>
      </c>
      <c r="G265" s="1256">
        <f t="shared" si="14"/>
        <v>0</v>
      </c>
    </row>
    <row r="266" spans="4:7" s="747" customFormat="1" ht="12.75" customHeight="1">
      <c r="D266" s="747">
        <v>72</v>
      </c>
      <c r="E266" s="748" t="b">
        <f t="shared" si="13"/>
        <v>0</v>
      </c>
      <c r="F266" s="748">
        <f t="shared" si="15"/>
        <v>7</v>
      </c>
      <c r="G266" s="1256">
        <f t="shared" si="14"/>
        <v>0</v>
      </c>
    </row>
    <row r="267" spans="4:7" s="747" customFormat="1" ht="12.75" customHeight="1">
      <c r="D267" s="747">
        <v>73</v>
      </c>
      <c r="E267" s="748" t="b">
        <f t="shared" si="13"/>
        <v>0</v>
      </c>
      <c r="F267" s="748">
        <f t="shared" si="15"/>
        <v>7</v>
      </c>
      <c r="G267" s="1256">
        <f t="shared" si="14"/>
        <v>0</v>
      </c>
    </row>
    <row r="268" spans="4:7" s="747" customFormat="1" ht="12.75" customHeight="1">
      <c r="D268" s="747">
        <v>74</v>
      </c>
      <c r="E268" s="748" t="b">
        <f t="shared" si="13"/>
        <v>0</v>
      </c>
      <c r="F268" s="748">
        <f t="shared" si="15"/>
        <v>7</v>
      </c>
      <c r="G268" s="1256">
        <f t="shared" si="14"/>
        <v>0</v>
      </c>
    </row>
    <row r="269" spans="4:7" s="747" customFormat="1" ht="12.75" customHeight="1">
      <c r="D269" s="747">
        <v>75</v>
      </c>
      <c r="E269" s="748" t="b">
        <f t="shared" si="13"/>
        <v>0</v>
      </c>
      <c r="F269" s="748">
        <f t="shared" si="15"/>
        <v>7</v>
      </c>
      <c r="G269" s="1256">
        <f t="shared" si="14"/>
        <v>0</v>
      </c>
    </row>
    <row r="270" spans="4:7" s="747" customFormat="1" ht="12.75" customHeight="1">
      <c r="D270" s="747">
        <v>76</v>
      </c>
      <c r="E270" s="748" t="b">
        <f t="shared" si="13"/>
        <v>0</v>
      </c>
      <c r="F270" s="748">
        <f t="shared" si="15"/>
        <v>7</v>
      </c>
      <c r="G270" s="1256">
        <f t="shared" si="14"/>
        <v>0</v>
      </c>
    </row>
    <row r="271" spans="4:7" s="747" customFormat="1" ht="12.75" customHeight="1">
      <c r="D271" s="747">
        <v>77</v>
      </c>
      <c r="E271" s="748" t="b">
        <f t="shared" si="13"/>
        <v>0</v>
      </c>
      <c r="F271" s="748">
        <f t="shared" si="15"/>
        <v>7</v>
      </c>
      <c r="G271" s="1256">
        <f t="shared" si="14"/>
        <v>0</v>
      </c>
    </row>
    <row r="272" spans="4:7" s="747" customFormat="1" ht="12.75" customHeight="1">
      <c r="D272" s="747">
        <v>78</v>
      </c>
      <c r="E272" s="748" t="b">
        <f t="shared" si="13"/>
        <v>0</v>
      </c>
      <c r="F272" s="748">
        <f t="shared" si="15"/>
        <v>7</v>
      </c>
      <c r="G272" s="1256">
        <f t="shared" si="14"/>
        <v>0</v>
      </c>
    </row>
    <row r="273" spans="2:9" s="747" customFormat="1" ht="12.75" customHeight="1">
      <c r="D273" s="747">
        <v>79</v>
      </c>
      <c r="E273" s="748" t="b">
        <f t="shared" si="13"/>
        <v>0</v>
      </c>
      <c r="F273" s="748">
        <f t="shared" si="15"/>
        <v>7</v>
      </c>
      <c r="G273" s="1256">
        <f t="shared" si="14"/>
        <v>0</v>
      </c>
    </row>
    <row r="274" spans="2:9" s="747" customFormat="1" ht="12.75" customHeight="1">
      <c r="D274" s="747">
        <v>80</v>
      </c>
      <c r="E274" s="748" t="b">
        <f t="shared" si="13"/>
        <v>0</v>
      </c>
      <c r="F274" s="748">
        <f t="shared" si="15"/>
        <v>7</v>
      </c>
      <c r="G274" s="1256">
        <f t="shared" si="14"/>
        <v>0</v>
      </c>
    </row>
    <row r="275" spans="2:9" s="747" customFormat="1" ht="12.75" customHeight="1">
      <c r="D275" s="747">
        <v>81</v>
      </c>
      <c r="E275" s="748" t="b">
        <f t="shared" si="13"/>
        <v>0</v>
      </c>
      <c r="F275" s="748">
        <f t="shared" si="15"/>
        <v>7</v>
      </c>
      <c r="G275" s="1256">
        <f t="shared" si="14"/>
        <v>0</v>
      </c>
    </row>
    <row r="276" spans="2:9" s="747" customFormat="1" ht="12.75" customHeight="1">
      <c r="D276" s="747">
        <v>82</v>
      </c>
      <c r="E276" s="748" t="b">
        <f t="shared" si="13"/>
        <v>0</v>
      </c>
      <c r="F276" s="748">
        <f t="shared" si="15"/>
        <v>7</v>
      </c>
      <c r="G276" s="1256">
        <f t="shared" si="14"/>
        <v>0</v>
      </c>
    </row>
    <row r="277" spans="2:9" s="747" customFormat="1" ht="12.75" customHeight="1">
      <c r="D277" s="747">
        <v>83</v>
      </c>
      <c r="E277" s="748" t="b">
        <f t="shared" si="13"/>
        <v>0</v>
      </c>
      <c r="F277" s="748">
        <f t="shared" si="15"/>
        <v>7</v>
      </c>
      <c r="G277" s="1256">
        <f t="shared" si="14"/>
        <v>0</v>
      </c>
    </row>
    <row r="278" spans="2:9" s="747" customFormat="1" ht="12.75" customHeight="1">
      <c r="D278" s="747">
        <v>84</v>
      </c>
      <c r="E278" s="748" t="b">
        <f t="shared" si="13"/>
        <v>0</v>
      </c>
      <c r="F278" s="748">
        <f t="shared" si="15"/>
        <v>7</v>
      </c>
      <c r="G278" s="1256">
        <f t="shared" si="14"/>
        <v>0</v>
      </c>
    </row>
    <row r="279" spans="2:9" s="747" customFormat="1" ht="12.75" customHeight="1">
      <c r="D279" s="747">
        <v>85</v>
      </c>
      <c r="E279" s="748" t="b">
        <f t="shared" si="13"/>
        <v>0</v>
      </c>
      <c r="F279" s="748">
        <f t="shared" si="15"/>
        <v>7</v>
      </c>
      <c r="G279" s="1256">
        <f t="shared" si="14"/>
        <v>0</v>
      </c>
    </row>
    <row r="280" spans="2:9" s="747" customFormat="1" ht="12.75" customHeight="1">
      <c r="D280" s="747">
        <v>86</v>
      </c>
      <c r="E280" s="748" t="b">
        <f t="shared" si="13"/>
        <v>0</v>
      </c>
      <c r="F280" s="748">
        <f t="shared" si="15"/>
        <v>7</v>
      </c>
      <c r="G280" s="1256">
        <f t="shared" si="14"/>
        <v>0</v>
      </c>
    </row>
    <row r="281" spans="2:9" s="747" customFormat="1" ht="12.75" customHeight="1">
      <c r="D281" s="747">
        <v>87</v>
      </c>
      <c r="E281" s="748" t="b">
        <f t="shared" si="13"/>
        <v>0</v>
      </c>
      <c r="F281" s="748">
        <f t="shared" si="15"/>
        <v>7</v>
      </c>
      <c r="G281" s="1256">
        <f t="shared" si="14"/>
        <v>0</v>
      </c>
    </row>
    <row r="282" spans="2:9" s="747" customFormat="1" ht="12.75" customHeight="1">
      <c r="D282" s="747">
        <v>88</v>
      </c>
      <c r="E282" s="748" t="b">
        <f t="shared" si="13"/>
        <v>0</v>
      </c>
      <c r="F282" s="748">
        <f t="shared" si="15"/>
        <v>7</v>
      </c>
      <c r="G282" s="1256">
        <f t="shared" si="14"/>
        <v>0</v>
      </c>
    </row>
    <row r="283" spans="2:9" s="644" customFormat="1" ht="12.75" customHeight="1"/>
    <row r="285" spans="2:9" s="16" customFormat="1" ht="13.8">
      <c r="B285" s="650" t="s">
        <v>2423</v>
      </c>
      <c r="E285" s="17"/>
      <c r="F285" s="17"/>
      <c r="G285" s="17"/>
      <c r="H285" s="17"/>
      <c r="I285" s="17"/>
    </row>
    <row r="287" spans="2:9">
      <c r="B287" s="738" t="s">
        <v>2416</v>
      </c>
      <c r="C287" s="841">
        <v>0</v>
      </c>
      <c r="D287" s="738" t="s">
        <v>3090</v>
      </c>
    </row>
    <row r="288" spans="2:9">
      <c r="B288" s="738" t="s">
        <v>2417</v>
      </c>
      <c r="C288" s="841">
        <v>0</v>
      </c>
      <c r="D288" s="738" t="s">
        <v>3092</v>
      </c>
    </row>
    <row r="289" spans="1:9">
      <c r="B289" s="738" t="s">
        <v>2418</v>
      </c>
      <c r="C289" s="841">
        <v>0</v>
      </c>
      <c r="D289" s="738" t="s">
        <v>3095</v>
      </c>
    </row>
    <row r="290" spans="1:9">
      <c r="B290" s="738" t="s">
        <v>2419</v>
      </c>
      <c r="C290" s="841">
        <v>0</v>
      </c>
      <c r="D290" s="738" t="s">
        <v>3096</v>
      </c>
    </row>
    <row r="291" spans="1:9">
      <c r="B291" s="738" t="s">
        <v>2420</v>
      </c>
      <c r="C291" s="841">
        <v>0</v>
      </c>
      <c r="D291" s="738" t="s">
        <v>3097</v>
      </c>
    </row>
    <row r="292" spans="1:9">
      <c r="B292" s="738" t="s">
        <v>2421</v>
      </c>
      <c r="C292" s="841">
        <v>0</v>
      </c>
      <c r="D292" s="738" t="s">
        <v>3098</v>
      </c>
    </row>
    <row r="293" spans="1:9">
      <c r="B293" s="738" t="s">
        <v>2422</v>
      </c>
      <c r="C293" s="841">
        <v>0</v>
      </c>
      <c r="D293" s="738" t="s">
        <v>3099</v>
      </c>
    </row>
    <row r="294" spans="1:9">
      <c r="B294" s="738" t="s">
        <v>2422</v>
      </c>
      <c r="C294" s="841">
        <v>0</v>
      </c>
      <c r="D294" s="738" t="s">
        <v>3100</v>
      </c>
    </row>
    <row r="296" spans="1:9" s="16" customFormat="1" ht="21" customHeight="1">
      <c r="B296" s="641" t="s">
        <v>2814</v>
      </c>
      <c r="E296" s="17"/>
      <c r="F296" s="17"/>
      <c r="G296" s="17"/>
      <c r="H296" s="17"/>
      <c r="I296" s="17"/>
    </row>
    <row r="298" spans="1:9">
      <c r="B298" s="738" t="str">
        <f ca="1">LEFT(CELL("filename",A1),FIND("[",CELL("filename",A1),1)-1)</f>
        <v>C:\Users\alison.meagher\Box Sync\MACH UG - MBA Development FY 2017\Digital Conversion\Simulation Conversion\</v>
      </c>
      <c r="C298" s="738" t="s">
        <v>2815</v>
      </c>
    </row>
    <row r="300" spans="1:9">
      <c r="A300" s="738" t="s">
        <v>3008</v>
      </c>
      <c r="B300" s="841" t="s">
        <v>3016</v>
      </c>
      <c r="C300" s="738" t="s">
        <v>3008</v>
      </c>
    </row>
    <row r="301" spans="1:9">
      <c r="A301" s="738" t="s">
        <v>3009</v>
      </c>
      <c r="B301" s="841" t="s">
        <v>3017</v>
      </c>
      <c r="C301" s="738" t="s">
        <v>3009</v>
      </c>
    </row>
    <row r="302" spans="1:9">
      <c r="A302" s="738" t="s">
        <v>3010</v>
      </c>
      <c r="B302" s="841" t="s">
        <v>3018</v>
      </c>
      <c r="C302" s="738" t="s">
        <v>3010</v>
      </c>
    </row>
    <row r="303" spans="1:9">
      <c r="A303" s="738" t="s">
        <v>3011</v>
      </c>
      <c r="B303" s="841" t="s">
        <v>3019</v>
      </c>
      <c r="C303" s="738" t="s">
        <v>3011</v>
      </c>
    </row>
    <row r="304" spans="1:9">
      <c r="A304" s="738" t="s">
        <v>3012</v>
      </c>
      <c r="B304" s="841" t="s">
        <v>3020</v>
      </c>
      <c r="C304" s="738" t="s">
        <v>3012</v>
      </c>
    </row>
    <row r="306" spans="2:3">
      <c r="B306" s="841"/>
      <c r="C306" s="738" t="s">
        <v>2816</v>
      </c>
    </row>
  </sheetData>
  <sheetProtection selectLockedCells="1" selectUnlockedCells="1"/>
  <mergeCells count="3">
    <mergeCell ref="U32:AE32"/>
    <mergeCell ref="I32:T32"/>
    <mergeCell ref="B32:H32"/>
  </mergeCells>
  <conditionalFormatting sqref="I42:L55">
    <cfRule type="expression" dxfId="797" priority="75">
      <formula>$C42</formula>
    </cfRule>
  </conditionalFormatting>
  <conditionalFormatting sqref="M42:T55">
    <cfRule type="expression" dxfId="796" priority="74">
      <formula>$C42</formula>
    </cfRule>
  </conditionalFormatting>
  <conditionalFormatting sqref="AD42:AD55 AA42:AB55 U42:Y55">
    <cfRule type="expression" dxfId="795" priority="73">
      <formula>NOT($C42)</formula>
    </cfRule>
  </conditionalFormatting>
  <conditionalFormatting sqref="Z42:Z55">
    <cfRule type="expression" dxfId="794" priority="72">
      <formula>NOT($C42)</formula>
    </cfRule>
  </conditionalFormatting>
  <conditionalFormatting sqref="AC42:AC55">
    <cfRule type="expression" dxfId="793" priority="71">
      <formula>NOT($C42)</formula>
    </cfRule>
  </conditionalFormatting>
  <conditionalFormatting sqref="AF42:AF55">
    <cfRule type="expression" dxfId="792" priority="70">
      <formula>NOT($C42)</formula>
    </cfRule>
  </conditionalFormatting>
  <conditionalFormatting sqref="AE42:AE55">
    <cfRule type="expression" dxfId="791" priority="69">
      <formula>NOT($C42)</formula>
    </cfRule>
  </conditionalFormatting>
  <conditionalFormatting sqref="I38:L38">
    <cfRule type="expression" dxfId="790" priority="54">
      <formula>$C38</formula>
    </cfRule>
  </conditionalFormatting>
  <conditionalFormatting sqref="M38:T38">
    <cfRule type="expression" dxfId="789" priority="53">
      <formula>$C38</formula>
    </cfRule>
  </conditionalFormatting>
  <conditionalFormatting sqref="I37:L37">
    <cfRule type="expression" dxfId="788" priority="66">
      <formula>$C37</formula>
    </cfRule>
  </conditionalFormatting>
  <conditionalFormatting sqref="M37:T37">
    <cfRule type="expression" dxfId="787" priority="65">
      <formula>$C37</formula>
    </cfRule>
  </conditionalFormatting>
  <conditionalFormatting sqref="AD37 AA37:AB37 U37:Y37">
    <cfRule type="expression" dxfId="786" priority="64">
      <formula>NOT($C37)</formula>
    </cfRule>
  </conditionalFormatting>
  <conditionalFormatting sqref="Z37">
    <cfRule type="expression" dxfId="785" priority="63">
      <formula>NOT($C37)</formula>
    </cfRule>
  </conditionalFormatting>
  <conditionalFormatting sqref="AC37">
    <cfRule type="expression" dxfId="784" priority="62">
      <formula>NOT($C37)</formula>
    </cfRule>
  </conditionalFormatting>
  <conditionalFormatting sqref="AF37">
    <cfRule type="expression" dxfId="783" priority="61">
      <formula>NOT($C37)</formula>
    </cfRule>
  </conditionalFormatting>
  <conditionalFormatting sqref="AE37">
    <cfRule type="expression" dxfId="782" priority="60">
      <formula>NOT($C37)</formula>
    </cfRule>
  </conditionalFormatting>
  <conditionalFormatting sqref="AD38 AA38:AB38 U38:Y38">
    <cfRule type="expression" dxfId="781" priority="59">
      <formula>NOT($C38)</formula>
    </cfRule>
  </conditionalFormatting>
  <conditionalFormatting sqref="Z38">
    <cfRule type="expression" dxfId="780" priority="58">
      <formula>NOT($C38)</formula>
    </cfRule>
  </conditionalFormatting>
  <conditionalFormatting sqref="AC38">
    <cfRule type="expression" dxfId="779" priority="57">
      <formula>NOT($C38)</formula>
    </cfRule>
  </conditionalFormatting>
  <conditionalFormatting sqref="AF38">
    <cfRule type="expression" dxfId="778" priority="56">
      <formula>NOT($C38)</formula>
    </cfRule>
  </conditionalFormatting>
  <conditionalFormatting sqref="AE38">
    <cfRule type="expression" dxfId="777" priority="55">
      <formula>NOT($C38)</formula>
    </cfRule>
  </conditionalFormatting>
  <conditionalFormatting sqref="AD39 AA39:AB39 U39:Y39">
    <cfRule type="expression" dxfId="776" priority="50">
      <formula>NOT($C39)</formula>
    </cfRule>
  </conditionalFormatting>
  <conditionalFormatting sqref="Z39">
    <cfRule type="expression" dxfId="775" priority="49">
      <formula>NOT($C39)</formula>
    </cfRule>
  </conditionalFormatting>
  <conditionalFormatting sqref="AC39">
    <cfRule type="expression" dxfId="774" priority="48">
      <formula>NOT($C39)</formula>
    </cfRule>
  </conditionalFormatting>
  <conditionalFormatting sqref="AF39">
    <cfRule type="expression" dxfId="773" priority="47">
      <formula>NOT($C39)</formula>
    </cfRule>
  </conditionalFormatting>
  <conditionalFormatting sqref="AE39">
    <cfRule type="expression" dxfId="772" priority="46">
      <formula>NOT($C39)</formula>
    </cfRule>
  </conditionalFormatting>
  <conditionalFormatting sqref="I40:L40">
    <cfRule type="expression" dxfId="771" priority="38">
      <formula>$C40</formula>
    </cfRule>
  </conditionalFormatting>
  <conditionalFormatting sqref="M40:T40">
    <cfRule type="expression" dxfId="770" priority="37">
      <formula>$C40</formula>
    </cfRule>
  </conditionalFormatting>
  <conditionalFormatting sqref="AD40 AA40:AB40 U40:Y40">
    <cfRule type="expression" dxfId="769" priority="36">
      <formula>NOT($C40)</formula>
    </cfRule>
  </conditionalFormatting>
  <conditionalFormatting sqref="Z40">
    <cfRule type="expression" dxfId="768" priority="35">
      <formula>NOT($C40)</formula>
    </cfRule>
  </conditionalFormatting>
  <conditionalFormatting sqref="AC40">
    <cfRule type="expression" dxfId="767" priority="34">
      <formula>NOT($C40)</formula>
    </cfRule>
  </conditionalFormatting>
  <conditionalFormatting sqref="AF40">
    <cfRule type="expression" dxfId="766" priority="33">
      <formula>NOT($C40)</formula>
    </cfRule>
  </conditionalFormatting>
  <conditionalFormatting sqref="AE40">
    <cfRule type="expression" dxfId="765" priority="32">
      <formula>NOT($C40)</formula>
    </cfRule>
  </conditionalFormatting>
  <conditionalFormatting sqref="I41:L41">
    <cfRule type="expression" dxfId="764" priority="31">
      <formula>$C41</formula>
    </cfRule>
  </conditionalFormatting>
  <conditionalFormatting sqref="M41:T41">
    <cfRule type="expression" dxfId="763" priority="30">
      <formula>$C41</formula>
    </cfRule>
  </conditionalFormatting>
  <conditionalFormatting sqref="AD41 AA41:AB41 U41:Y41">
    <cfRule type="expression" dxfId="762" priority="29">
      <formula>NOT($C41)</formula>
    </cfRule>
  </conditionalFormatting>
  <conditionalFormatting sqref="Z41">
    <cfRule type="expression" dxfId="761" priority="28">
      <formula>NOT($C41)</formula>
    </cfRule>
  </conditionalFormatting>
  <conditionalFormatting sqref="AC41">
    <cfRule type="expression" dxfId="760" priority="27">
      <formula>NOT($C41)</formula>
    </cfRule>
  </conditionalFormatting>
  <conditionalFormatting sqref="AF41">
    <cfRule type="expression" dxfId="759" priority="26">
      <formula>NOT($C41)</formula>
    </cfRule>
  </conditionalFormatting>
  <conditionalFormatting sqref="AE41">
    <cfRule type="expression" dxfId="758" priority="25">
      <formula>NOT($C41)</formula>
    </cfRule>
  </conditionalFormatting>
  <conditionalFormatting sqref="I39:L39">
    <cfRule type="expression" dxfId="757" priority="24">
      <formula>$C39</formula>
    </cfRule>
  </conditionalFormatting>
  <conditionalFormatting sqref="M39:T39">
    <cfRule type="expression" dxfId="756" priority="23">
      <formula>$C39</formula>
    </cfRule>
  </conditionalFormatting>
  <conditionalFormatting sqref="T34">
    <cfRule type="expression" dxfId="755" priority="22">
      <formula>$C34</formula>
    </cfRule>
  </conditionalFormatting>
  <conditionalFormatting sqref="AD34 AA34:AB34 U34:Y34">
    <cfRule type="expression" dxfId="754" priority="21">
      <formula>NOT($C34)</formula>
    </cfRule>
  </conditionalFormatting>
  <conditionalFormatting sqref="Z34">
    <cfRule type="expression" dxfId="753" priority="20">
      <formula>NOT($C34)</formula>
    </cfRule>
  </conditionalFormatting>
  <conditionalFormatting sqref="AC34">
    <cfRule type="expression" dxfId="752" priority="19">
      <formula>NOT($C34)</formula>
    </cfRule>
  </conditionalFormatting>
  <conditionalFormatting sqref="AF34">
    <cfRule type="expression" dxfId="751" priority="18">
      <formula>NOT($C34)</formula>
    </cfRule>
  </conditionalFormatting>
  <conditionalFormatting sqref="AE34">
    <cfRule type="expression" dxfId="750" priority="17">
      <formula>NOT($C34)</formula>
    </cfRule>
  </conditionalFormatting>
  <conditionalFormatting sqref="I34:L34">
    <cfRule type="expression" dxfId="749" priority="16">
      <formula>$C34</formula>
    </cfRule>
  </conditionalFormatting>
  <conditionalFormatting sqref="M34:S34">
    <cfRule type="expression" dxfId="748" priority="15">
      <formula>$C34</formula>
    </cfRule>
  </conditionalFormatting>
  <conditionalFormatting sqref="AD35 AA35:AB35 U35:Y35">
    <cfRule type="expression" dxfId="747" priority="14">
      <formula>NOT($C35)</formula>
    </cfRule>
  </conditionalFormatting>
  <conditionalFormatting sqref="Z35">
    <cfRule type="expression" dxfId="746" priority="13">
      <formula>NOT($C35)</formula>
    </cfRule>
  </conditionalFormatting>
  <conditionalFormatting sqref="AC35">
    <cfRule type="expression" dxfId="745" priority="12">
      <formula>NOT($C35)</formula>
    </cfRule>
  </conditionalFormatting>
  <conditionalFormatting sqref="AF35">
    <cfRule type="expression" dxfId="744" priority="11">
      <formula>NOT($C35)</formula>
    </cfRule>
  </conditionalFormatting>
  <conditionalFormatting sqref="AE35">
    <cfRule type="expression" dxfId="743" priority="10">
      <formula>NOT($C35)</formula>
    </cfRule>
  </conditionalFormatting>
  <conditionalFormatting sqref="I35:L35">
    <cfRule type="expression" dxfId="742" priority="9">
      <formula>$C35</formula>
    </cfRule>
  </conditionalFormatting>
  <conditionalFormatting sqref="M35:T35">
    <cfRule type="expression" dxfId="741" priority="8">
      <formula>$C35</formula>
    </cfRule>
  </conditionalFormatting>
  <conditionalFormatting sqref="I36:L36">
    <cfRule type="expression" dxfId="740" priority="7">
      <formula>$C36</formula>
    </cfRule>
  </conditionalFormatting>
  <conditionalFormatting sqref="M36:T36">
    <cfRule type="expression" dxfId="739" priority="6">
      <formula>$C36</formula>
    </cfRule>
  </conditionalFormatting>
  <conditionalFormatting sqref="AD36 AA36:AB36 U36:Y36">
    <cfRule type="expression" dxfId="738" priority="5">
      <formula>NOT($C36)</formula>
    </cfRule>
  </conditionalFormatting>
  <conditionalFormatting sqref="Z36">
    <cfRule type="expression" dxfId="737" priority="4">
      <formula>NOT($C36)</formula>
    </cfRule>
  </conditionalFormatting>
  <conditionalFormatting sqref="AC36">
    <cfRule type="expression" dxfId="736" priority="3">
      <formula>NOT($C36)</formula>
    </cfRule>
  </conditionalFormatting>
  <conditionalFormatting sqref="AF36">
    <cfRule type="expression" dxfId="735" priority="2">
      <formula>NOT($C36)</formula>
    </cfRule>
  </conditionalFormatting>
  <conditionalFormatting sqref="AE36">
    <cfRule type="expression" dxfId="734" priority="1">
      <formula>NOT($C36)</formula>
    </cfRule>
  </conditionalFormatting>
  <dataValidations count="3">
    <dataValidation type="whole" operator="greaterThan" allowBlank="1" showInputMessage="1" showErrorMessage="1" errorTitle="Next Wobbler" error="Please enter a wobbler number greater than the current wobbler." sqref="AC34:AC55 Z34:Z55 W34:W55 R34:R55 P34:P55 N34:N55 T34:T55 AF34:AF55">
      <formula1>$B34</formula1>
    </dataValidation>
    <dataValidation type="list" allowBlank="1" showInputMessage="1" showErrorMessage="1" sqref="C28">
      <formula1>"TRUE,FALSE"</formula1>
    </dataValidation>
    <dataValidation type="list" allowBlank="1" showInputMessage="1" showErrorMessage="1" sqref="AA34:AA55 U34:U55 AD34:AD55 C34:C55 X34:X55">
      <formula1>"TRUE, FALSE"</formula1>
    </dataValidation>
  </dataValidations>
  <hyperlinks>
    <hyperlink ref="E3" r:id="rId1"/>
  </hyperlinks>
  <pageMargins left="0.7" right="0.7" top="0.75" bottom="0.75" header="0.3" footer="0.3"/>
  <pageSetup orientation="portrait"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AA29"/>
  <sheetViews>
    <sheetView zoomScaleNormal="100" workbookViewId="0">
      <selection activeCell="E14" sqref="E14:G14"/>
    </sheetView>
  </sheetViews>
  <sheetFormatPr defaultColWidth="8.81640625" defaultRowHeight="16.8"/>
  <cols>
    <col min="1" max="1" width="1.7265625" style="227" customWidth="1"/>
    <col min="2" max="2" width="10.7265625" style="227" customWidth="1"/>
    <col min="3" max="3" width="1.7265625" style="227" customWidth="1"/>
    <col min="4" max="4" width="10.7265625" style="227" customWidth="1"/>
    <col min="5" max="5" width="1.7265625" style="227" customWidth="1"/>
    <col min="6" max="6" width="20.08984375" style="227" customWidth="1"/>
    <col min="7" max="7" width="1.7265625" style="227" customWidth="1"/>
    <col min="8" max="8" width="10.7265625" style="227" customWidth="1"/>
    <col min="9" max="9" width="1.7265625" style="227" customWidth="1"/>
    <col min="10" max="10" width="10.7265625" style="227" customWidth="1"/>
    <col min="11" max="11" width="1.7265625" style="227" customWidth="1"/>
    <col min="12" max="12" width="10.7265625" style="227" customWidth="1"/>
    <col min="13" max="13" width="1.7265625" style="227" customWidth="1"/>
    <col min="14" max="14" width="10.7265625" style="227" customWidth="1"/>
    <col min="15" max="15" width="1.7265625" style="227" customWidth="1"/>
    <col min="16" max="16" width="10.7265625" style="227" customWidth="1"/>
    <col min="17" max="17" width="1.7265625" style="227" customWidth="1"/>
    <col min="18" max="18" width="10.7265625" style="227" customWidth="1"/>
    <col min="19" max="19" width="1.7265625" style="227" customWidth="1"/>
    <col min="20" max="16384" width="8.81640625" style="227"/>
  </cols>
  <sheetData>
    <row r="1" spans="1:27" ht="6" customHeight="1">
      <c r="A1" s="878"/>
      <c r="B1" s="878"/>
      <c r="C1" s="878"/>
      <c r="D1" s="878"/>
      <c r="E1" s="878"/>
      <c r="F1" s="878"/>
      <c r="G1" s="878"/>
      <c r="H1" s="878"/>
      <c r="I1" s="878"/>
      <c r="J1" s="878"/>
      <c r="K1" s="878"/>
    </row>
    <row r="2" spans="1:27" ht="38.1" customHeight="1">
      <c r="A2" s="878"/>
      <c r="B2" s="878"/>
      <c r="C2" s="878"/>
      <c r="D2" s="878"/>
      <c r="E2" s="878"/>
      <c r="F2" s="878"/>
      <c r="G2" s="878"/>
      <c r="H2" s="878"/>
      <c r="I2" s="878"/>
      <c r="J2" s="878"/>
      <c r="K2" s="878"/>
      <c r="Z2" s="227" t="s">
        <v>471</v>
      </c>
      <c r="AA2" s="227" t="s">
        <v>122</v>
      </c>
    </row>
    <row r="3" spans="1:27" ht="9.9" customHeight="1">
      <c r="A3" s="878"/>
      <c r="B3" s="878"/>
      <c r="C3" s="878"/>
      <c r="D3" s="878"/>
      <c r="E3" s="878"/>
      <c r="F3" s="878"/>
      <c r="G3" s="878"/>
      <c r="H3" s="878"/>
      <c r="I3" s="878"/>
      <c r="J3" s="878"/>
      <c r="K3" s="878"/>
    </row>
    <row r="4" spans="1:27" ht="44.1" customHeight="1">
      <c r="A4" s="879"/>
      <c r="B4" s="1289" t="str">
        <f>nmProgramSubtitle</f>
        <v>Skill-Up</v>
      </c>
      <c r="C4" s="1289"/>
      <c r="D4" s="1289"/>
      <c r="E4" s="1289"/>
      <c r="F4" s="1289"/>
      <c r="G4" s="1289"/>
      <c r="H4" s="1289"/>
      <c r="I4" s="1289"/>
      <c r="J4" s="1289"/>
      <c r="K4" s="878"/>
    </row>
    <row r="5" spans="1:27" ht="6" customHeight="1">
      <c r="A5" s="878"/>
      <c r="B5" s="880"/>
      <c r="C5" s="878"/>
      <c r="D5" s="878"/>
      <c r="E5" s="878"/>
      <c r="F5" s="878"/>
      <c r="G5" s="878"/>
      <c r="H5" s="878"/>
      <c r="I5" s="878"/>
      <c r="J5" s="878"/>
      <c r="K5" s="878"/>
    </row>
    <row r="6" spans="1:27" ht="21.9" customHeight="1">
      <c r="A6" s="881"/>
      <c r="B6" s="881"/>
      <c r="C6" s="881"/>
      <c r="D6" s="881"/>
      <c r="E6" s="881"/>
      <c r="F6" s="881"/>
      <c r="G6" s="881"/>
      <c r="H6" s="881"/>
      <c r="I6" s="881"/>
      <c r="J6" s="881"/>
      <c r="K6" s="881"/>
      <c r="L6" s="228"/>
      <c r="M6" s="228"/>
      <c r="N6" s="228"/>
      <c r="O6" s="228"/>
      <c r="P6" s="228"/>
      <c r="Q6" s="228"/>
      <c r="R6" s="228"/>
    </row>
    <row r="7" spans="1:27" ht="21.9" customHeight="1">
      <c r="A7" s="881"/>
      <c r="B7" s="881"/>
      <c r="C7" s="881"/>
      <c r="D7" s="881"/>
      <c r="E7" s="881"/>
      <c r="F7" s="881"/>
      <c r="G7" s="881"/>
      <c r="H7" s="881"/>
      <c r="I7" s="881"/>
      <c r="J7" s="881"/>
      <c r="K7" s="881"/>
      <c r="L7" s="228"/>
      <c r="M7" s="228"/>
      <c r="N7" s="228"/>
      <c r="O7" s="228"/>
      <c r="P7" s="228"/>
      <c r="Q7" s="228"/>
      <c r="R7" s="228"/>
    </row>
    <row r="8" spans="1:27" ht="21.9" customHeight="1">
      <c r="A8" s="881"/>
      <c r="B8" s="881"/>
      <c r="C8" s="881"/>
      <c r="D8" s="881"/>
      <c r="E8" s="881"/>
      <c r="F8" s="881"/>
      <c r="G8" s="881"/>
      <c r="H8" s="881"/>
      <c r="I8" s="881"/>
      <c r="J8" s="881"/>
      <c r="K8" s="881"/>
      <c r="L8" s="228"/>
      <c r="M8" s="228"/>
      <c r="N8" s="228"/>
      <c r="O8" s="228"/>
      <c r="P8" s="228"/>
      <c r="Q8" s="228"/>
      <c r="R8" s="228"/>
    </row>
    <row r="9" spans="1:27" ht="21.9" customHeight="1">
      <c r="A9" s="881"/>
      <c r="B9" s="881"/>
      <c r="C9" s="881"/>
      <c r="D9" s="881"/>
      <c r="E9" s="881"/>
      <c r="F9" s="881"/>
      <c r="G9" s="881"/>
      <c r="H9" s="881"/>
      <c r="I9" s="881"/>
      <c r="J9" s="881"/>
      <c r="K9" s="881"/>
      <c r="L9" s="228"/>
      <c r="M9" s="228"/>
      <c r="N9" s="228"/>
      <c r="O9" s="228"/>
      <c r="P9" s="228"/>
      <c r="Q9" s="228"/>
      <c r="R9" s="228"/>
    </row>
    <row r="10" spans="1:27" ht="21.9" customHeight="1">
      <c r="A10" s="882"/>
      <c r="B10" s="883"/>
      <c r="C10" s="882"/>
      <c r="D10" s="884"/>
      <c r="E10" s="1288" t="str">
        <f>nmTeamNumber</f>
        <v>Team Number</v>
      </c>
      <c r="F10" s="1288"/>
      <c r="G10" s="1288"/>
      <c r="H10" s="882"/>
      <c r="I10" s="882"/>
      <c r="J10" s="882"/>
      <c r="K10" s="882"/>
      <c r="L10" s="228"/>
      <c r="M10" s="228"/>
      <c r="N10" s="228"/>
      <c r="O10" s="228"/>
      <c r="P10" s="228"/>
      <c r="Q10" s="228"/>
      <c r="R10" s="228"/>
    </row>
    <row r="11" spans="1:27" ht="21.9" customHeight="1">
      <c r="A11" s="882"/>
      <c r="B11" s="883"/>
      <c r="C11" s="882"/>
      <c r="D11" s="883"/>
      <c r="E11" s="887"/>
      <c r="F11" s="887">
        <v>1</v>
      </c>
      <c r="G11" s="885"/>
      <c r="H11" s="882"/>
      <c r="I11" s="882"/>
      <c r="J11" s="882"/>
      <c r="K11" s="882"/>
      <c r="L11" s="228"/>
      <c r="M11" s="228"/>
      <c r="N11" s="228"/>
      <c r="O11" s="228"/>
      <c r="P11" s="228"/>
      <c r="Q11" s="228"/>
      <c r="R11" s="228"/>
    </row>
    <row r="12" spans="1:27" ht="21.9" customHeight="1">
      <c r="A12" s="882"/>
      <c r="B12" s="883"/>
      <c r="C12" s="882"/>
      <c r="D12" s="885"/>
      <c r="E12" s="885"/>
      <c r="F12" s="885"/>
      <c r="G12" s="885"/>
      <c r="H12" s="882"/>
      <c r="I12" s="882"/>
      <c r="J12" s="882"/>
      <c r="K12" s="882"/>
      <c r="L12" s="228"/>
      <c r="M12" s="228"/>
      <c r="N12" s="228"/>
      <c r="O12" s="228"/>
      <c r="P12" s="228"/>
      <c r="Q12" s="228"/>
      <c r="R12" s="228"/>
    </row>
    <row r="13" spans="1:27" ht="21.9" customHeight="1">
      <c r="A13" s="882"/>
      <c r="B13" s="883"/>
      <c r="C13" s="882"/>
      <c r="D13" s="884"/>
      <c r="E13" s="1288" t="str">
        <f>nmTeamName</f>
        <v>Team Name</v>
      </c>
      <c r="F13" s="1288"/>
      <c r="G13" s="1288"/>
      <c r="H13" s="882"/>
      <c r="I13" s="882"/>
      <c r="J13" s="882"/>
      <c r="K13" s="882"/>
      <c r="L13" s="228"/>
      <c r="M13" s="228"/>
      <c r="N13" s="228"/>
      <c r="O13" s="228"/>
      <c r="P13" s="228"/>
      <c r="Q13" s="228"/>
      <c r="R13" s="228"/>
    </row>
    <row r="14" spans="1:27" ht="21.9" customHeight="1">
      <c r="A14" s="882"/>
      <c r="B14" s="883"/>
      <c r="C14" s="882"/>
      <c r="D14" s="884"/>
      <c r="E14" s="1290" t="s">
        <v>2899</v>
      </c>
      <c r="F14" s="1290"/>
      <c r="G14" s="1290"/>
      <c r="H14" s="882"/>
      <c r="I14" s="882"/>
      <c r="J14" s="882"/>
      <c r="K14" s="882"/>
      <c r="L14" s="228"/>
      <c r="M14" s="228"/>
      <c r="N14" s="228"/>
      <c r="O14" s="228"/>
      <c r="P14" s="228"/>
      <c r="Q14" s="228"/>
      <c r="R14" s="228"/>
    </row>
    <row r="15" spans="1:27" ht="21.9" customHeight="1">
      <c r="A15" s="882"/>
      <c r="B15" s="883"/>
      <c r="C15" s="882"/>
      <c r="D15" s="885"/>
      <c r="E15" s="885"/>
      <c r="F15" s="885"/>
      <c r="G15" s="885"/>
      <c r="H15" s="882"/>
      <c r="I15" s="882"/>
      <c r="J15" s="882"/>
      <c r="K15" s="882"/>
      <c r="L15" s="228"/>
      <c r="M15" s="228"/>
      <c r="N15" s="228"/>
      <c r="O15" s="228"/>
      <c r="P15" s="228"/>
      <c r="Q15" s="228"/>
      <c r="R15" s="228"/>
    </row>
    <row r="16" spans="1:27" ht="21.9" customHeight="1">
      <c r="A16" s="882"/>
      <c r="B16" s="883"/>
      <c r="C16" s="882"/>
      <c r="D16" s="884"/>
      <c r="E16" s="1288" t="str">
        <f>nmRound</f>
        <v>Round</v>
      </c>
      <c r="F16" s="1288"/>
      <c r="G16" s="1288"/>
      <c r="H16" s="882"/>
      <c r="I16" s="882"/>
      <c r="J16" s="882"/>
      <c r="K16" s="882"/>
      <c r="L16" s="228"/>
      <c r="M16" s="228"/>
      <c r="N16" s="228"/>
      <c r="O16" s="228"/>
      <c r="P16" s="228"/>
      <c r="Q16" s="228"/>
      <c r="R16" s="228"/>
    </row>
    <row r="17" spans="1:25" ht="21.9" customHeight="1">
      <c r="A17" s="882"/>
      <c r="B17" s="883"/>
      <c r="C17" s="882"/>
      <c r="D17" s="884"/>
      <c r="E17" s="1288">
        <f>xxRound</f>
        <v>1</v>
      </c>
      <c r="F17" s="1288"/>
      <c r="G17" s="1288"/>
      <c r="H17" s="882"/>
      <c r="I17" s="882"/>
      <c r="J17" s="882"/>
      <c r="K17" s="882"/>
      <c r="L17" s="228"/>
      <c r="M17" s="228"/>
      <c r="N17" s="228"/>
      <c r="O17" s="228"/>
      <c r="P17" s="228"/>
      <c r="Q17" s="228"/>
      <c r="R17" s="228"/>
    </row>
    <row r="18" spans="1:25" ht="99.6" customHeight="1">
      <c r="A18" s="882"/>
      <c r="B18" s="882"/>
      <c r="C18" s="882"/>
      <c r="D18" s="882"/>
      <c r="E18" s="882"/>
      <c r="F18" s="886"/>
      <c r="G18" s="882"/>
      <c r="H18" s="886"/>
      <c r="I18" s="882"/>
      <c r="J18" s="882"/>
      <c r="K18" s="886"/>
      <c r="L18" s="228"/>
      <c r="M18" s="228"/>
      <c r="N18" s="228"/>
      <c r="O18" s="228"/>
      <c r="P18" s="228"/>
      <c r="Q18" s="228"/>
      <c r="R18" s="229"/>
      <c r="T18"/>
      <c r="Y18"/>
    </row>
    <row r="19" spans="1:25" ht="85.2" customHeight="1">
      <c r="A19" s="883"/>
      <c r="B19" s="883"/>
      <c r="C19" s="883"/>
      <c r="D19" s="883"/>
      <c r="E19" s="883"/>
      <c r="F19" s="883"/>
      <c r="G19" s="883"/>
      <c r="H19" s="883"/>
      <c r="I19" s="883"/>
      <c r="J19" s="883"/>
      <c r="K19" s="883"/>
    </row>
    <row r="20" spans="1:25" ht="21.9" customHeight="1"/>
    <row r="21" spans="1:25" ht="21.9" customHeight="1">
      <c r="F21" s="230"/>
      <c r="H21" s="230"/>
    </row>
    <row r="22" spans="1:25" ht="21.9" customHeight="1">
      <c r="R22" s="230"/>
    </row>
    <row r="23" spans="1:25" ht="21.9" customHeight="1"/>
    <row r="24" spans="1:25" ht="21.9" customHeight="1"/>
    <row r="25" spans="1:25" ht="21.9" customHeight="1"/>
    <row r="26" spans="1:25" ht="21.9" customHeight="1"/>
    <row r="27" spans="1:25" ht="21.9" customHeight="1"/>
    <row r="28" spans="1:25" ht="21.9" customHeight="1"/>
    <row r="29" spans="1:25" ht="21.9" customHeight="1"/>
  </sheetData>
  <sheetProtection selectLockedCells="1"/>
  <mergeCells count="6">
    <mergeCell ref="E17:G17"/>
    <mergeCell ref="B4:J4"/>
    <mergeCell ref="E10:G10"/>
    <mergeCell ref="E13:G13"/>
    <mergeCell ref="E14:G14"/>
    <mergeCell ref="E16:G16"/>
  </mergeCells>
  <pageMargins left="0.7" right="0.7" top="0.75" bottom="0.75" header="0.3" footer="0.3"/>
  <pageSetup orientation="portrait" horizontalDpi="4294967292"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4"/>
    <pageSetUpPr autoPageBreaks="0"/>
  </sheetPr>
  <dimension ref="A1:Z89"/>
  <sheetViews>
    <sheetView zoomScale="40" zoomScaleNormal="40" workbookViewId="0">
      <pane ySplit="12" topLeftCell="A32" activePane="bottomLeft" state="frozen"/>
      <selection pane="bottomLeft" activeCell="P88" sqref="P88"/>
    </sheetView>
  </sheetViews>
  <sheetFormatPr defaultColWidth="8.81640625" defaultRowHeight="19.2"/>
  <cols>
    <col min="1" max="1" width="3.453125" style="195" customWidth="1"/>
    <col min="2" max="2" width="31.453125" style="195" customWidth="1"/>
    <col min="3" max="3" width="3.453125" style="195" customWidth="1"/>
    <col min="4" max="4" width="24.7265625" style="195" customWidth="1"/>
    <col min="5" max="5" width="4.36328125" style="195" customWidth="1"/>
    <col min="6" max="6" width="26.453125" style="195" customWidth="1"/>
    <col min="7" max="7" width="3.453125" style="195" customWidth="1"/>
    <col min="8" max="8" width="26.453125" style="195" customWidth="1"/>
    <col min="9" max="9" width="3.453125" style="195" customWidth="1"/>
    <col min="10" max="10" width="26.453125" style="195" customWidth="1"/>
    <col min="11" max="11" width="3.453125" style="195" customWidth="1"/>
    <col min="12" max="12" width="26.453125" style="195" customWidth="1"/>
    <col min="13" max="13" width="3.453125" style="195" customWidth="1"/>
    <col min="14" max="14" width="26.453125" style="195" customWidth="1"/>
    <col min="15" max="15" width="20" style="195" customWidth="1"/>
    <col min="16" max="16" width="26.453125" style="195" customWidth="1"/>
    <col min="17" max="17" width="3.453125" style="195" customWidth="1"/>
    <col min="18" max="18" width="24.7265625" style="195" customWidth="1"/>
    <col min="19" max="19" width="3.453125" style="195" customWidth="1"/>
    <col min="20" max="20" width="20.7265625" style="195" customWidth="1"/>
    <col min="21" max="16384" width="8.81640625" style="195"/>
  </cols>
  <sheetData>
    <row r="1" spans="1:23" s="197" customFormat="1" ht="37.950000000000003" customHeight="1">
      <c r="A1" s="1294" t="s">
        <v>2860</v>
      </c>
      <c r="B1" s="1294"/>
      <c r="C1" s="1294"/>
      <c r="D1" s="1294"/>
      <c r="E1" s="184"/>
      <c r="F1" s="185"/>
    </row>
    <row r="2" spans="1:23" s="186" customFormat="1" ht="21" customHeight="1">
      <c r="A2" s="1294"/>
      <c r="B2" s="1294"/>
      <c r="C2" s="1294"/>
      <c r="D2" s="1294"/>
      <c r="E2" s="1272"/>
      <c r="F2" s="1291" t="s">
        <v>3255</v>
      </c>
      <c r="G2" s="1259"/>
      <c r="H2" s="1263" t="s">
        <v>395</v>
      </c>
      <c r="I2" s="1268"/>
      <c r="J2" s="1259" t="s">
        <v>117</v>
      </c>
      <c r="K2" s="1268"/>
      <c r="L2" s="1259" t="s">
        <v>206</v>
      </c>
      <c r="M2" s="1268"/>
      <c r="N2" s="1259" t="s">
        <v>396</v>
      </c>
      <c r="O2" s="1093"/>
      <c r="T2" s="189"/>
    </row>
    <row r="3" spans="1:23" s="186" customFormat="1" ht="21" customHeight="1">
      <c r="A3" s="1294"/>
      <c r="B3" s="1294"/>
      <c r="C3" s="1294"/>
      <c r="D3" s="1294"/>
      <c r="E3" s="1272"/>
      <c r="F3" s="1292"/>
      <c r="G3" s="1264"/>
      <c r="H3" s="1279">
        <f>INDEX(cbalTotalCLV,xxIndexTeam)/1000000</f>
        <v>1572.7737531877312</v>
      </c>
      <c r="I3" s="1281"/>
      <c r="J3" s="1281">
        <f>INDEX(finPNLTotalRev,xxIndexTeam)/1000000</f>
        <v>1082.9839404293339</v>
      </c>
      <c r="K3" s="1279"/>
      <c r="L3" s="1281">
        <f>INDEX(finPNLTotalGrossProfit,xxIndexTeam)/1000000</f>
        <v>725.5332942945796</v>
      </c>
      <c r="M3" s="1281"/>
      <c r="N3" s="1279">
        <f>INDEX(finPNLTotalOpsProfit,xxIndexTeam)/1000000</f>
        <v>582.78329429457972</v>
      </c>
      <c r="O3" s="1281"/>
      <c r="T3" s="189"/>
    </row>
    <row r="4" spans="1:23" s="186" customFormat="1" ht="21" customHeight="1">
      <c r="A4" s="1294"/>
      <c r="B4" s="1294"/>
      <c r="C4" s="1294"/>
      <c r="D4" s="1294"/>
      <c r="E4" s="1272"/>
      <c r="F4" s="1293"/>
      <c r="G4" s="1264"/>
      <c r="H4" s="211"/>
      <c r="I4" s="1282"/>
      <c r="J4" s="1282">
        <f>INDEX(finPNLTotalRevGrowth,xxIndexTeam)</f>
        <v>0.13562840108960605</v>
      </c>
      <c r="K4" s="1273"/>
      <c r="L4" s="1283">
        <f>INDEX(finPNLTotalGrossMargin,xxIndexTeam)</f>
        <v>0.6699391073213441</v>
      </c>
      <c r="M4" s="1283"/>
      <c r="N4" s="1273">
        <f>INDEX(finPNLTotalOpsMargin,xxIndexTeam)</f>
        <v>0.53812736508682057</v>
      </c>
      <c r="O4" s="1283"/>
      <c r="T4" s="189"/>
    </row>
    <row r="5" spans="1:23" s="186" customFormat="1" ht="21" customHeight="1">
      <c r="A5" s="1294"/>
      <c r="B5" s="1294"/>
      <c r="C5" s="1294"/>
      <c r="D5" s="1294"/>
      <c r="E5" s="1272"/>
      <c r="F5" s="1291" t="s">
        <v>3256</v>
      </c>
      <c r="G5" s="1259"/>
      <c r="H5" s="1263" t="s">
        <v>399</v>
      </c>
      <c r="I5" s="1268"/>
      <c r="J5" s="1263" t="s">
        <v>400</v>
      </c>
      <c r="K5" s="1268"/>
      <c r="L5" s="1263" t="s">
        <v>1741</v>
      </c>
      <c r="M5" s="1268"/>
      <c r="N5" s="1259"/>
      <c r="O5" s="1093"/>
      <c r="T5" s="189"/>
    </row>
    <row r="6" spans="1:23" s="186" customFormat="1" ht="21" customHeight="1">
      <c r="A6" s="1294"/>
      <c r="B6" s="1294"/>
      <c r="C6" s="1294"/>
      <c r="D6" s="1294"/>
      <c r="E6" s="1272"/>
      <c r="F6" s="1292"/>
      <c r="G6" s="1264"/>
      <c r="H6" s="1266">
        <f>INDEX(cbalCloudAdoption,xxIndexTeam)</f>
        <v>0.83995427246632004</v>
      </c>
      <c r="I6" s="1271"/>
      <c r="J6" s="1266">
        <f>INDEX(cbalAvgConsumption,xxIndexTeam)</f>
        <v>0.14889885236960354</v>
      </c>
      <c r="K6" s="1271"/>
      <c r="L6" s="1266">
        <f>1-INDEX(cbalAvgRenRate,xxIndexTeam)</f>
        <v>0.31005617740451386</v>
      </c>
      <c r="M6" s="189"/>
      <c r="N6" s="237"/>
      <c r="T6" s="189"/>
    </row>
    <row r="7" spans="1:23" s="186" customFormat="1" ht="21" customHeight="1">
      <c r="A7" s="1294"/>
      <c r="B7" s="1294"/>
      <c r="C7" s="1294"/>
      <c r="D7" s="1294"/>
      <c r="E7" s="1272"/>
      <c r="F7" s="1293"/>
      <c r="G7" s="1264"/>
      <c r="H7" s="1265"/>
      <c r="I7" s="1269"/>
      <c r="J7" s="1261"/>
      <c r="K7" s="1270"/>
      <c r="L7" s="1261"/>
      <c r="M7" s="1270"/>
      <c r="N7" s="1261"/>
      <c r="O7" s="1262"/>
      <c r="T7" s="189"/>
    </row>
    <row r="8" spans="1:23" s="186" customFormat="1" ht="21" customHeight="1">
      <c r="A8" s="1294"/>
      <c r="B8" s="1294"/>
      <c r="C8" s="1294"/>
      <c r="D8" s="1294"/>
      <c r="E8" s="1272"/>
      <c r="F8" s="1291" t="s">
        <v>3257</v>
      </c>
      <c r="G8" s="1259"/>
      <c r="H8" s="1263" t="s">
        <v>394</v>
      </c>
      <c r="I8" s="1268"/>
      <c r="J8" s="1263" t="s">
        <v>2665</v>
      </c>
      <c r="K8" s="1268"/>
      <c r="L8" s="1263" t="s">
        <v>1367</v>
      </c>
      <c r="M8" s="1268"/>
      <c r="N8" s="1259"/>
      <c r="O8" s="1093"/>
      <c r="T8" s="189"/>
    </row>
    <row r="9" spans="1:23" s="186" customFormat="1" ht="21" customHeight="1">
      <c r="A9" s="1294"/>
      <c r="B9" s="1294"/>
      <c r="C9" s="1294"/>
      <c r="D9" s="1294"/>
      <c r="E9" s="1272"/>
      <c r="F9" s="1292"/>
      <c r="G9" s="1264"/>
      <c r="H9" s="1267">
        <f ca="1">INDEX(cbalWHI,xxIndexTeam)</f>
        <v>79.546374999999998</v>
      </c>
      <c r="I9" s="1271"/>
      <c r="J9" s="1267">
        <f>INDEX(cbalCPE,xxIndexTeam)</f>
        <v>78.678750000000008</v>
      </c>
      <c r="K9" s="1271"/>
      <c r="L9" s="1275">
        <f>INDEX(calcETUsRemaining,xxIndexTeam)</f>
        <v>200</v>
      </c>
      <c r="M9" s="189"/>
      <c r="N9" s="237"/>
      <c r="T9" s="189"/>
    </row>
    <row r="10" spans="1:23" s="186" customFormat="1" ht="21" customHeight="1">
      <c r="A10" s="1294"/>
      <c r="B10" s="1294"/>
      <c r="C10" s="1294"/>
      <c r="D10" s="1294"/>
      <c r="E10" s="1272"/>
      <c r="F10" s="1293"/>
      <c r="G10" s="1261"/>
      <c r="H10" s="1261"/>
      <c r="I10" s="1261"/>
      <c r="J10" s="1261"/>
      <c r="K10" s="1270"/>
      <c r="L10" s="1261"/>
      <c r="M10" s="1270"/>
      <c r="N10" s="1261"/>
      <c r="O10" s="1262"/>
      <c r="T10" s="189"/>
    </row>
    <row r="11" spans="1:23" s="186" customFormat="1" ht="124.95" customHeight="1">
      <c r="A11" s="1294"/>
      <c r="B11" s="1294"/>
      <c r="C11" s="1294"/>
      <c r="D11" s="1294"/>
      <c r="E11" s="196"/>
      <c r="F11" s="1065" t="s">
        <v>2863</v>
      </c>
      <c r="G11" s="1064"/>
      <c r="H11" s="190" t="s">
        <v>117</v>
      </c>
      <c r="I11" s="187"/>
      <c r="J11" s="190" t="s">
        <v>1698</v>
      </c>
      <c r="K11" s="187"/>
      <c r="L11" s="190" t="s">
        <v>974</v>
      </c>
      <c r="M11" s="187"/>
      <c r="N11" s="190" t="s">
        <v>3279</v>
      </c>
      <c r="O11" s="188"/>
      <c r="V11" s="186" t="s">
        <v>2796</v>
      </c>
      <c r="W11" s="186" t="s">
        <v>122</v>
      </c>
    </row>
    <row r="12" spans="1:23" s="191" customFormat="1" ht="62.4" customHeight="1">
      <c r="A12" s="1294"/>
      <c r="B12" s="1294"/>
      <c r="C12" s="1294"/>
      <c r="D12" s="1294"/>
      <c r="P12" s="192"/>
    </row>
    <row r="13" spans="1:23" ht="24.6">
      <c r="B13" s="205"/>
      <c r="C13" s="205"/>
      <c r="D13" s="233"/>
      <c r="E13" s="234"/>
      <c r="F13" s="205"/>
      <c r="G13" s="205"/>
      <c r="H13" s="235"/>
      <c r="I13" s="235"/>
      <c r="J13" s="235"/>
      <c r="K13" s="235"/>
      <c r="L13" s="235"/>
      <c r="M13" s="235"/>
      <c r="N13" s="235"/>
      <c r="O13" s="235"/>
    </row>
    <row r="14" spans="1:23" s="269" customFormat="1" ht="34.799999999999997">
      <c r="B14" s="207" t="s">
        <v>449</v>
      </c>
      <c r="C14" s="270"/>
      <c r="D14" s="270"/>
      <c r="E14" s="270"/>
      <c r="F14" s="270"/>
      <c r="H14" s="207" t="s">
        <v>2685</v>
      </c>
    </row>
    <row r="15" spans="1:23" ht="24.6">
      <c r="B15" s="201"/>
      <c r="C15" s="198"/>
      <c r="D15" s="200"/>
      <c r="E15" s="198"/>
      <c r="F15" s="198"/>
      <c r="J15" s="198"/>
      <c r="K15" s="198"/>
      <c r="L15" s="198"/>
      <c r="M15" s="198"/>
      <c r="N15" s="201"/>
      <c r="P15"/>
    </row>
    <row r="16" spans="1:23" ht="24.6">
      <c r="B16" s="198"/>
      <c r="C16" s="198"/>
      <c r="D16" s="213"/>
      <c r="E16" s="198"/>
      <c r="F16" s="198"/>
    </row>
    <row r="17" spans="1:20" ht="24.6">
      <c r="B17" s="203" t="s">
        <v>450</v>
      </c>
      <c r="C17" s="198"/>
      <c r="D17" s="198"/>
      <c r="E17" s="198"/>
      <c r="F17" s="198"/>
      <c r="N17" s="198"/>
    </row>
    <row r="18" spans="1:20" ht="24.6">
      <c r="B18" s="198"/>
      <c r="C18" s="198"/>
      <c r="D18" s="198"/>
      <c r="E18" s="198"/>
      <c r="F18" s="198"/>
      <c r="N18" s="198"/>
      <c r="R18"/>
    </row>
    <row r="19" spans="1:20" ht="24.6">
      <c r="B19" s="902" t="s">
        <v>3101</v>
      </c>
      <c r="C19" s="198"/>
      <c r="D19" s="213">
        <f>INDEX(cbalEGSecurity,xxIndexTeam)</f>
        <v>7</v>
      </c>
      <c r="E19" s="213"/>
      <c r="F19" s="198" t="s">
        <v>2982</v>
      </c>
      <c r="N19" s="198"/>
    </row>
    <row r="20" spans="1:20" ht="24.6">
      <c r="B20" s="902" t="s">
        <v>3102</v>
      </c>
      <c r="C20" s="201"/>
      <c r="D20" s="213">
        <f>INDEX(calcEGSecurityETUs,xxIndexTeam)</f>
        <v>0</v>
      </c>
      <c r="E20" s="213"/>
      <c r="F20" s="198"/>
      <c r="N20" s="198"/>
    </row>
    <row r="21" spans="1:20" ht="24.6">
      <c r="B21" s="198"/>
      <c r="C21" s="198"/>
      <c r="D21" s="222"/>
      <c r="E21" s="220"/>
    </row>
    <row r="22" spans="1:20" ht="24.6">
      <c r="F22" s="198"/>
    </row>
    <row r="24" spans="1:20" ht="24.6">
      <c r="B24" s="203" t="s">
        <v>453</v>
      </c>
      <c r="C24" s="198"/>
      <c r="D24" s="198"/>
      <c r="E24" s="198"/>
      <c r="F24" s="198"/>
      <c r="J24" s="203"/>
      <c r="K24" s="198"/>
      <c r="L24" s="198"/>
      <c r="M24" s="198"/>
      <c r="N24" s="198"/>
    </row>
    <row r="25" spans="1:20" ht="24.6">
      <c r="B25" s="198"/>
      <c r="C25" s="198"/>
      <c r="D25" s="198"/>
      <c r="E25" s="198"/>
      <c r="F25" s="198"/>
      <c r="J25" s="198"/>
      <c r="K25" s="198"/>
      <c r="L25" s="198"/>
      <c r="M25" s="198"/>
      <c r="N25" s="198"/>
    </row>
    <row r="26" spans="1:20" ht="24.6">
      <c r="B26" s="902" t="s">
        <v>3101</v>
      </c>
      <c r="C26" s="198"/>
      <c r="D26" s="213">
        <f>(INDEX(cbalEGInteroperability,xxIndexTeam))</f>
        <v>4</v>
      </c>
      <c r="E26" s="213"/>
      <c r="F26" s="198"/>
      <c r="J26" s="198"/>
      <c r="K26" s="198"/>
      <c r="L26" s="213"/>
      <c r="M26" s="213"/>
      <c r="N26" s="198"/>
    </row>
    <row r="27" spans="1:20" ht="24.6">
      <c r="B27" s="902" t="s">
        <v>3102</v>
      </c>
      <c r="C27" s="201"/>
      <c r="D27" s="213">
        <f>INDEX(calcEGInteroperabilityETUs,xxIndexTeam)</f>
        <v>0</v>
      </c>
      <c r="E27" s="213"/>
      <c r="F27" s="198"/>
      <c r="J27" s="198"/>
      <c r="K27" s="198"/>
      <c r="L27" s="213"/>
      <c r="M27" s="213"/>
      <c r="N27" s="198"/>
    </row>
    <row r="28" spans="1:20" ht="24.6">
      <c r="B28" s="201"/>
      <c r="C28" s="201"/>
      <c r="D28" s="213"/>
      <c r="E28" s="213"/>
      <c r="F28" s="198"/>
      <c r="J28" s="198"/>
      <c r="K28" s="198"/>
      <c r="L28" s="213"/>
      <c r="M28" s="213"/>
      <c r="N28" s="198"/>
    </row>
    <row r="29" spans="1:20" s="198" customFormat="1" ht="19.95" customHeight="1">
      <c r="D29" s="200"/>
      <c r="F29" s="201"/>
      <c r="G29" s="201"/>
      <c r="H29" s="200"/>
      <c r="P29" s="201"/>
      <c r="Q29" s="201"/>
      <c r="R29" s="201"/>
      <c r="S29" s="201"/>
      <c r="T29" s="201"/>
    </row>
    <row r="30" spans="1:20" s="198" customFormat="1" ht="19.95" customHeight="1">
      <c r="B30" s="195"/>
      <c r="C30" s="195"/>
      <c r="D30" s="195"/>
      <c r="E30" s="195"/>
      <c r="F30" s="201"/>
      <c r="G30" s="201"/>
      <c r="H30" s="200"/>
      <c r="P30" s="201"/>
      <c r="Q30" s="201"/>
      <c r="R30" s="201"/>
      <c r="S30" s="201"/>
      <c r="T30" s="201"/>
    </row>
    <row r="31" spans="1:20" s="198" customFormat="1" ht="19.95" customHeight="1">
      <c r="A31" s="195"/>
      <c r="B31" s="203" t="s">
        <v>451</v>
      </c>
      <c r="F31" s="201"/>
      <c r="G31" s="201"/>
      <c r="H31" s="200"/>
      <c r="P31" s="201"/>
      <c r="Q31" s="201"/>
      <c r="R31" s="201"/>
      <c r="S31" s="201"/>
      <c r="T31" s="201"/>
    </row>
    <row r="32" spans="1:20" s="198" customFormat="1" ht="19.95" customHeight="1">
      <c r="F32" s="201"/>
      <c r="G32" s="201"/>
      <c r="H32" s="200"/>
      <c r="P32" s="201"/>
      <c r="Q32" s="201"/>
      <c r="R32" s="201"/>
      <c r="S32" s="201"/>
      <c r="T32" s="201"/>
    </row>
    <row r="33" spans="2:26" s="198" customFormat="1" ht="19.95" customHeight="1">
      <c r="B33" s="902" t="s">
        <v>3101</v>
      </c>
      <c r="D33" s="213">
        <f>INDEX(cbalEGScalability,xxIndexTeam)</f>
        <v>5</v>
      </c>
      <c r="F33" s="201"/>
      <c r="G33" s="201"/>
      <c r="H33" s="200"/>
      <c r="P33" s="201"/>
      <c r="Q33" s="201"/>
      <c r="R33" s="201"/>
      <c r="S33" s="201"/>
      <c r="T33" s="201"/>
    </row>
    <row r="34" spans="2:26" s="198" customFormat="1" ht="19.95" customHeight="1">
      <c r="B34" s="902" t="s">
        <v>3102</v>
      </c>
      <c r="C34" s="201"/>
      <c r="D34" s="213">
        <f>INDEX(calcEGScalabilityETUs,xxIndexTeam)</f>
        <v>0</v>
      </c>
      <c r="F34" s="201"/>
      <c r="G34" s="201"/>
      <c r="H34" s="200"/>
      <c r="P34" s="201"/>
      <c r="Q34" s="201"/>
      <c r="R34" s="201"/>
      <c r="S34" s="201"/>
      <c r="T34" s="201"/>
    </row>
    <row r="35" spans="2:26" s="198" customFormat="1" ht="19.95" customHeight="1">
      <c r="D35" s="200"/>
      <c r="F35" s="201"/>
      <c r="G35" s="201"/>
      <c r="H35" s="200"/>
      <c r="P35" s="201"/>
      <c r="Q35" s="201"/>
      <c r="R35" s="201"/>
      <c r="S35" s="201"/>
      <c r="T35" s="201"/>
    </row>
    <row r="36" spans="2:26" s="198" customFormat="1" ht="19.95" customHeight="1">
      <c r="B36" s="504"/>
      <c r="H36" s="201"/>
      <c r="I36" s="242"/>
      <c r="J36" s="504"/>
      <c r="K36" s="504"/>
    </row>
    <row r="37" spans="2:26" s="191" customFormat="1" ht="25.2" customHeight="1">
      <c r="B37" s="249"/>
      <c r="C37" s="249"/>
      <c r="D37" s="249"/>
      <c r="E37" s="249"/>
      <c r="F37" s="249"/>
      <c r="G37" s="249"/>
      <c r="H37" s="250"/>
      <c r="I37" s="249"/>
      <c r="J37" s="249"/>
      <c r="K37" s="249"/>
      <c r="L37" s="249"/>
      <c r="M37" s="249"/>
      <c r="N37" s="250"/>
      <c r="O37" s="249"/>
      <c r="P37" s="249"/>
      <c r="Q37" s="249"/>
      <c r="R37" s="249"/>
      <c r="S37" s="249"/>
      <c r="T37" s="250"/>
      <c r="U37" s="249"/>
      <c r="V37" s="242"/>
      <c r="W37" s="194"/>
      <c r="X37" s="242"/>
      <c r="Y37" s="194"/>
      <c r="Z37" s="242"/>
    </row>
    <row r="38" spans="2:26" s="198" customFormat="1" ht="24.6" customHeight="1">
      <c r="D38" s="200"/>
      <c r="F38" s="201"/>
      <c r="G38" s="201"/>
      <c r="H38" s="200"/>
      <c r="P38" s="201"/>
      <c r="Q38" s="201"/>
      <c r="R38" s="201"/>
      <c r="S38" s="201"/>
      <c r="T38" s="201"/>
    </row>
    <row r="39" spans="2:26" s="270" customFormat="1" ht="33.6" customHeight="1">
      <c r="B39" s="207" t="str">
        <f>nmProd1</f>
        <v>Productivity &amp; Business</v>
      </c>
      <c r="C39" s="195"/>
      <c r="D39" s="195"/>
      <c r="E39" s="195"/>
      <c r="F39" s="195"/>
      <c r="G39" s="195"/>
      <c r="H39" s="207" t="str">
        <f>nmProd1&amp;" Investment Analysis"</f>
        <v>Productivity &amp; Business Investment Analysis</v>
      </c>
      <c r="I39" s="269"/>
      <c r="J39" s="269"/>
      <c r="K39" s="269"/>
      <c r="L39" s="269"/>
      <c r="M39" s="269"/>
      <c r="N39" s="269"/>
      <c r="O39" s="269"/>
      <c r="P39" s="269"/>
    </row>
    <row r="40" spans="2:26" s="198" customFormat="1" ht="24.6" customHeight="1">
      <c r="B40" s="195"/>
      <c r="C40" s="195"/>
      <c r="D40" s="195"/>
      <c r="E40" s="195"/>
      <c r="F40" s="195"/>
      <c r="G40" s="195"/>
      <c r="H40" s="195"/>
      <c r="I40" s="195"/>
      <c r="N40" s="201"/>
      <c r="O40" s="195"/>
      <c r="P40" s="195"/>
      <c r="Q40" s="201"/>
      <c r="R40" s="201"/>
      <c r="S40" s="201"/>
      <c r="T40" s="201"/>
    </row>
    <row r="41" spans="2:26" s="198" customFormat="1" ht="24.6" customHeight="1">
      <c r="B41" s="195"/>
      <c r="C41" s="195"/>
      <c r="D41" s="195"/>
      <c r="E41" s="195"/>
      <c r="F41" s="195"/>
      <c r="G41" s="195"/>
      <c r="H41" s="195"/>
      <c r="I41" s="195"/>
      <c r="J41" s="195"/>
      <c r="K41" s="195"/>
      <c r="L41" s="195"/>
      <c r="M41" s="195"/>
      <c r="N41" s="195"/>
      <c r="O41" s="195"/>
      <c r="P41" s="195"/>
      <c r="Q41" s="201"/>
      <c r="R41" s="201"/>
      <c r="S41" s="201"/>
      <c r="T41" s="201"/>
    </row>
    <row r="42" spans="2:26" s="198" customFormat="1" ht="25.2" customHeight="1">
      <c r="B42" s="198" t="str">
        <f>nmProd1Offering1</f>
        <v>Workspace 365</v>
      </c>
      <c r="C42" s="195"/>
      <c r="D42" s="195"/>
      <c r="E42" s="195"/>
      <c r="F42" s="195"/>
      <c r="G42" s="195"/>
      <c r="H42" s="195"/>
      <c r="I42" s="195"/>
      <c r="J42" s="195"/>
      <c r="K42" s="195"/>
      <c r="L42" s="195"/>
      <c r="M42" s="195"/>
      <c r="O42" s="195"/>
      <c r="P42" s="195"/>
      <c r="Q42" s="201"/>
      <c r="R42" s="201"/>
      <c r="S42" s="201"/>
      <c r="T42" s="201"/>
    </row>
    <row r="43" spans="2:26" s="198" customFormat="1" ht="25.2" customHeight="1">
      <c r="B43" s="195"/>
      <c r="C43" s="195"/>
      <c r="D43" s="195"/>
      <c r="E43" s="195"/>
      <c r="F43" s="195"/>
      <c r="G43" s="195"/>
      <c r="H43" s="195"/>
      <c r="I43" s="195"/>
      <c r="J43" s="195"/>
      <c r="K43" s="195"/>
      <c r="L43" s="195"/>
      <c r="M43" s="195"/>
      <c r="O43" s="195"/>
      <c r="P43" s="195"/>
      <c r="Q43" s="201"/>
      <c r="R43" s="201"/>
      <c r="S43" s="201"/>
      <c r="T43" s="201"/>
    </row>
    <row r="44" spans="2:26" s="198" customFormat="1" ht="25.2" customHeight="1">
      <c r="B44" s="902" t="s">
        <v>3101</v>
      </c>
      <c r="C44" s="195"/>
      <c r="D44" s="213">
        <f>INDEX(cbalEGProd1Offering1,xxIndexTeam)</f>
        <v>8</v>
      </c>
      <c r="E44" s="213"/>
      <c r="F44" s="195"/>
      <c r="G44" s="195"/>
      <c r="H44" s="195"/>
      <c r="I44" s="195"/>
      <c r="J44" s="195"/>
      <c r="K44" s="195"/>
      <c r="L44" s="195"/>
      <c r="M44" s="195"/>
      <c r="O44" s="195"/>
      <c r="P44" s="195"/>
      <c r="Q44" s="201"/>
      <c r="R44" s="201"/>
      <c r="S44" s="201"/>
      <c r="T44" s="201"/>
    </row>
    <row r="45" spans="2:26" s="198" customFormat="1" ht="25.2" customHeight="1">
      <c r="B45" s="902" t="s">
        <v>3102</v>
      </c>
      <c r="C45" s="195"/>
      <c r="D45" s="213">
        <f>INDEX(calcEGProd1Offering1ETUs,xxIndexTeam)</f>
        <v>0</v>
      </c>
      <c r="E45" s="213"/>
      <c r="F45" s="195"/>
      <c r="G45" s="195"/>
      <c r="H45" s="195"/>
      <c r="I45" s="195"/>
      <c r="J45" s="195"/>
      <c r="K45" s="195"/>
      <c r="L45" s="195"/>
      <c r="M45" s="195"/>
      <c r="O45" s="195"/>
      <c r="P45" s="195"/>
      <c r="Q45" s="201"/>
      <c r="R45" s="201"/>
      <c r="S45" s="201"/>
      <c r="T45" s="201"/>
    </row>
    <row r="46" spans="2:26" s="198" customFormat="1" ht="25.2" customHeight="1">
      <c r="B46" s="195"/>
      <c r="C46" s="195"/>
      <c r="D46" s="195"/>
      <c r="E46" s="195"/>
      <c r="F46" s="195"/>
      <c r="G46" s="195"/>
      <c r="H46" s="195"/>
      <c r="I46" s="195"/>
      <c r="J46" s="195"/>
      <c r="K46" s="195"/>
      <c r="L46" s="195"/>
      <c r="M46" s="195"/>
      <c r="N46" s="195"/>
      <c r="O46" s="195"/>
      <c r="P46" s="195"/>
      <c r="Q46" s="201"/>
      <c r="R46" s="201"/>
      <c r="S46" s="201"/>
      <c r="T46" s="201"/>
    </row>
    <row r="47" spans="2:26" s="198" customFormat="1" ht="25.2" customHeight="1">
      <c r="B47" s="195"/>
      <c r="C47" s="195"/>
      <c r="D47" s="195"/>
      <c r="E47" s="195"/>
      <c r="F47" s="195"/>
      <c r="G47" s="195"/>
      <c r="H47" s="195"/>
      <c r="I47" s="195"/>
      <c r="J47" s="195"/>
      <c r="K47" s="195"/>
      <c r="L47" s="195"/>
      <c r="M47" s="195"/>
      <c r="N47" s="195"/>
      <c r="O47" s="195"/>
      <c r="P47" s="195"/>
      <c r="Q47" s="201"/>
      <c r="R47" s="201"/>
      <c r="S47" s="201"/>
      <c r="T47" s="201"/>
    </row>
    <row r="48" spans="2:26" s="198" customFormat="1" ht="25.2" customHeight="1">
      <c r="B48" s="195"/>
      <c r="C48" s="195"/>
      <c r="D48" s="195"/>
      <c r="E48" s="195"/>
      <c r="F48" s="195"/>
      <c r="G48" s="195"/>
      <c r="H48" s="195"/>
      <c r="I48" s="195"/>
      <c r="J48" s="195"/>
      <c r="K48" s="195"/>
      <c r="L48" s="195"/>
      <c r="M48" s="195"/>
      <c r="N48" s="195"/>
      <c r="O48" s="195"/>
      <c r="P48" s="195"/>
      <c r="Q48" s="201"/>
      <c r="R48" s="201"/>
      <c r="S48" s="201"/>
      <c r="T48" s="201"/>
    </row>
    <row r="49" spans="2:26" s="198" customFormat="1" ht="24.6">
      <c r="B49" s="198" t="str">
        <f>nmProd1Offering2</f>
        <v>Dynamo 365</v>
      </c>
      <c r="C49" s="195"/>
      <c r="D49" s="195"/>
      <c r="E49" s="195"/>
      <c r="F49" s="195"/>
      <c r="G49" s="195"/>
      <c r="H49" s="195"/>
      <c r="I49" s="195"/>
      <c r="J49" s="203"/>
      <c r="O49" s="195"/>
      <c r="P49" s="195"/>
    </row>
    <row r="50" spans="2:26" s="198" customFormat="1" ht="25.2" customHeight="1">
      <c r="B50" s="195"/>
      <c r="C50" s="195"/>
      <c r="D50" s="195"/>
      <c r="E50" s="195"/>
      <c r="F50" s="195"/>
      <c r="G50" s="195"/>
      <c r="H50" s="195"/>
      <c r="I50" s="195"/>
      <c r="O50" s="195"/>
      <c r="P50" s="195"/>
      <c r="Q50" s="201"/>
      <c r="R50" s="201"/>
      <c r="S50" s="201"/>
      <c r="T50" s="201"/>
    </row>
    <row r="51" spans="2:26" s="198" customFormat="1" ht="24.6">
      <c r="B51" s="902" t="s">
        <v>3101</v>
      </c>
      <c r="C51" s="195"/>
      <c r="D51" s="213">
        <f>INDEX(cbalEGProd1Offering2,xxIndexTeam)</f>
        <v>6</v>
      </c>
      <c r="E51" s="213"/>
      <c r="F51" s="195"/>
      <c r="G51" s="195"/>
      <c r="H51" s="195"/>
      <c r="I51" s="195"/>
      <c r="L51" s="213"/>
      <c r="M51" s="213"/>
      <c r="O51" s="195"/>
      <c r="P51" s="195"/>
    </row>
    <row r="52" spans="2:26" s="198" customFormat="1" ht="25.2" customHeight="1">
      <c r="B52" s="902" t="s">
        <v>3102</v>
      </c>
      <c r="C52" s="195"/>
      <c r="D52" s="213">
        <f>INDEX(calcEGProd1Offering2ETUs,xxIndexTeam)</f>
        <v>0</v>
      </c>
      <c r="E52" s="213"/>
      <c r="F52" s="195"/>
      <c r="G52" s="195"/>
      <c r="H52" s="195"/>
      <c r="I52" s="195"/>
      <c r="L52" s="213"/>
      <c r="M52" s="213"/>
      <c r="O52" s="195"/>
      <c r="P52" s="195"/>
      <c r="Q52" s="201"/>
      <c r="R52" s="201"/>
      <c r="S52" s="201"/>
      <c r="T52" s="201"/>
    </row>
    <row r="53" spans="2:26" ht="24.6">
      <c r="J53" s="198"/>
      <c r="K53" s="198"/>
      <c r="L53" s="213"/>
      <c r="M53" s="213"/>
      <c r="N53" s="198"/>
    </row>
    <row r="54" spans="2:26" s="198" customFormat="1" ht="33.6" customHeight="1">
      <c r="B54" s="504"/>
      <c r="H54" s="201"/>
      <c r="I54" s="242"/>
      <c r="J54" s="504"/>
      <c r="K54" s="504"/>
    </row>
    <row r="55" spans="2:26" s="191" customFormat="1" ht="25.2" customHeight="1">
      <c r="B55" s="249"/>
      <c r="C55" s="249"/>
      <c r="D55" s="249"/>
      <c r="E55" s="249"/>
      <c r="F55" s="249"/>
      <c r="G55" s="249"/>
      <c r="H55" s="250"/>
      <c r="I55" s="249"/>
      <c r="J55" s="249"/>
      <c r="K55" s="249"/>
      <c r="L55" s="249"/>
      <c r="M55" s="249"/>
      <c r="N55" s="250"/>
      <c r="O55" s="249"/>
      <c r="P55" s="249"/>
      <c r="Q55" s="249"/>
      <c r="R55" s="249"/>
      <c r="S55" s="249"/>
      <c r="T55" s="250"/>
      <c r="U55" s="249"/>
      <c r="V55" s="242"/>
      <c r="W55" s="194"/>
      <c r="X55" s="242"/>
      <c r="Y55" s="194"/>
      <c r="Z55" s="242"/>
    </row>
    <row r="56" spans="2:26" ht="24.6">
      <c r="H56" s="200"/>
      <c r="I56" s="198"/>
      <c r="J56" s="198"/>
      <c r="K56" s="198"/>
      <c r="L56" s="198"/>
      <c r="M56" s="198"/>
      <c r="N56" s="198"/>
      <c r="O56" s="198"/>
      <c r="P56" s="201"/>
    </row>
    <row r="57" spans="2:26" ht="24.6">
      <c r="H57" s="200"/>
      <c r="I57" s="198"/>
      <c r="J57" s="198"/>
      <c r="K57" s="198"/>
      <c r="L57" s="198"/>
      <c r="M57" s="198"/>
      <c r="N57" s="198"/>
      <c r="O57" s="198"/>
      <c r="P57" s="201"/>
    </row>
    <row r="58" spans="2:26" s="908" customFormat="1" ht="33.6" customHeight="1">
      <c r="B58" s="207" t="str">
        <f>nmProd2</f>
        <v>Intelligent Cloud</v>
      </c>
      <c r="C58" s="907"/>
      <c r="D58" s="907"/>
      <c r="E58" s="907"/>
      <c r="F58" s="907"/>
      <c r="G58" s="907"/>
      <c r="H58" s="207" t="str">
        <f>nmProd2&amp; " Investment Analysis"</f>
        <v>Intelligent Cloud Investment Analysis</v>
      </c>
      <c r="I58" s="231"/>
      <c r="J58" s="231"/>
      <c r="K58" s="231"/>
      <c r="L58" s="231"/>
      <c r="M58" s="231"/>
      <c r="N58" s="231"/>
      <c r="O58" s="231"/>
      <c r="P58" s="236"/>
    </row>
    <row r="59" spans="2:26" ht="24.6">
      <c r="H59" s="200"/>
      <c r="I59" s="198"/>
      <c r="J59" s="198"/>
      <c r="K59" s="198"/>
      <c r="L59" s="198"/>
      <c r="M59" s="198"/>
      <c r="N59" s="198"/>
      <c r="O59" s="198"/>
      <c r="P59" s="201"/>
    </row>
    <row r="60" spans="2:26" ht="24.6">
      <c r="H60" s="200"/>
      <c r="I60" s="198"/>
      <c r="J60" s="198"/>
      <c r="K60" s="198"/>
      <c r="L60" s="198"/>
      <c r="M60" s="198"/>
      <c r="N60" s="198"/>
      <c r="O60" s="198"/>
      <c r="P60" s="201"/>
    </row>
    <row r="61" spans="2:26" ht="24.6">
      <c r="B61" s="1278" t="str">
        <f>nmProd2Offering1</f>
        <v>Azul Infrastructure</v>
      </c>
      <c r="H61" s="200"/>
      <c r="I61" s="198"/>
      <c r="J61" s="198"/>
      <c r="K61" s="198"/>
      <c r="L61" s="198"/>
      <c r="M61" s="198"/>
      <c r="N61" s="198"/>
      <c r="O61" s="198"/>
      <c r="P61" s="201"/>
    </row>
    <row r="62" spans="2:26" ht="24.6">
      <c r="H62" s="200"/>
      <c r="I62" s="198"/>
      <c r="J62" s="198"/>
      <c r="K62" s="198"/>
      <c r="L62" s="198"/>
      <c r="M62" s="198"/>
      <c r="N62" s="198"/>
      <c r="O62" s="198"/>
      <c r="P62" s="201"/>
    </row>
    <row r="63" spans="2:26" s="198" customFormat="1" ht="25.2" customHeight="1">
      <c r="B63" s="902" t="s">
        <v>3101</v>
      </c>
      <c r="C63" s="195"/>
      <c r="D63" s="213">
        <f>INDEX(cbalEGProd2Offering1,xxIndexTeam)</f>
        <v>4</v>
      </c>
      <c r="E63" s="213"/>
      <c r="F63" s="195"/>
      <c r="G63" s="195"/>
      <c r="H63" s="200"/>
      <c r="P63" s="201"/>
      <c r="Q63" s="201"/>
      <c r="R63" s="201"/>
      <c r="S63" s="201"/>
      <c r="T63" s="201"/>
    </row>
    <row r="64" spans="2:26" ht="24.6">
      <c r="B64" s="902" t="s">
        <v>3102</v>
      </c>
      <c r="D64" s="213">
        <f>INDEX(calcEGProd2Offering1ETUs,xxIndexTeam)</f>
        <v>0</v>
      </c>
      <c r="E64" s="213"/>
    </row>
    <row r="65" spans="2:26" s="198" customFormat="1" ht="25.2" customHeight="1">
      <c r="B65" s="195"/>
      <c r="C65" s="195"/>
      <c r="D65" s="195"/>
      <c r="E65" s="195"/>
      <c r="F65" s="195"/>
      <c r="G65" s="195"/>
      <c r="H65" s="195"/>
      <c r="I65" s="195"/>
      <c r="J65" s="195"/>
      <c r="K65" s="195"/>
      <c r="L65" s="195"/>
      <c r="M65" s="195"/>
      <c r="N65" s="195"/>
      <c r="O65" s="195"/>
      <c r="P65" s="201"/>
      <c r="Q65" s="201"/>
      <c r="R65" s="201"/>
      <c r="S65" s="201"/>
      <c r="T65" s="201"/>
    </row>
    <row r="67" spans="2:26" ht="24.6">
      <c r="B67" s="198" t="str">
        <f>nmProd2Offering2</f>
        <v>Azul Data, Applications, and AI</v>
      </c>
    </row>
    <row r="69" spans="2:26" s="198" customFormat="1" ht="25.2" customHeight="1">
      <c r="B69" s="902" t="s">
        <v>3101</v>
      </c>
      <c r="C69" s="195"/>
      <c r="D69" s="213">
        <f>INDEX(cbalEGProd2Offering2,xxIndexTeam)</f>
        <v>4</v>
      </c>
      <c r="E69" s="213"/>
      <c r="F69" s="195"/>
      <c r="G69" s="195"/>
      <c r="H69" s="195"/>
      <c r="I69" s="195"/>
      <c r="J69" s="195"/>
      <c r="K69" s="195"/>
      <c r="L69" s="195"/>
      <c r="M69" s="195"/>
      <c r="N69" s="195"/>
      <c r="O69" s="195"/>
      <c r="P69" s="201"/>
      <c r="Q69" s="201"/>
      <c r="R69" s="201"/>
      <c r="S69" s="201"/>
      <c r="T69" s="201"/>
    </row>
    <row r="70" spans="2:26" ht="24.6">
      <c r="B70" s="902" t="s">
        <v>3102</v>
      </c>
      <c r="D70" s="213">
        <f>INDEX(calcEGProd2Offering2ETUs,xxIndexTeam)</f>
        <v>0</v>
      </c>
      <c r="E70" s="213"/>
    </row>
    <row r="71" spans="2:26" s="198" customFormat="1" ht="25.2" customHeight="1">
      <c r="B71" s="195"/>
      <c r="C71" s="195"/>
      <c r="D71" s="195"/>
      <c r="E71" s="195"/>
      <c r="F71" s="195"/>
      <c r="G71" s="195"/>
      <c r="H71" s="195"/>
      <c r="I71" s="195"/>
      <c r="J71" s="195"/>
      <c r="K71" s="195"/>
      <c r="L71" s="195"/>
      <c r="M71" s="195"/>
      <c r="N71" s="195"/>
      <c r="O71" s="195"/>
      <c r="P71" s="201"/>
      <c r="Q71" s="201"/>
      <c r="R71" s="201"/>
      <c r="S71" s="201"/>
      <c r="T71" s="201"/>
    </row>
    <row r="73" spans="2:26" s="198" customFormat="1" ht="33.6" customHeight="1">
      <c r="B73" s="504"/>
      <c r="H73" s="201"/>
      <c r="I73" s="242"/>
      <c r="J73" s="504"/>
      <c r="K73" s="504"/>
    </row>
    <row r="74" spans="2:26" s="191" customFormat="1" ht="25.2" customHeight="1">
      <c r="B74" s="249"/>
      <c r="C74" s="249"/>
      <c r="D74" s="249"/>
      <c r="E74" s="249"/>
      <c r="F74" s="249"/>
      <c r="G74" s="249"/>
      <c r="H74" s="250"/>
      <c r="I74" s="249"/>
      <c r="J74" s="249"/>
      <c r="K74" s="249"/>
      <c r="L74" s="249"/>
      <c r="M74" s="249"/>
      <c r="N74" s="250"/>
      <c r="O74" s="249"/>
      <c r="P74" s="249"/>
      <c r="Q74" s="249"/>
      <c r="R74" s="249"/>
      <c r="S74" s="249"/>
      <c r="T74" s="250"/>
      <c r="U74" s="249"/>
      <c r="V74" s="242"/>
      <c r="W74" s="194"/>
      <c r="X74" s="242"/>
      <c r="Y74" s="194"/>
      <c r="Z74" s="242"/>
    </row>
    <row r="77" spans="2:26" s="270" customFormat="1" ht="33.6" customHeight="1">
      <c r="B77" s="207" t="str">
        <f>nmProd3</f>
        <v>Personal Computing</v>
      </c>
      <c r="C77" s="907"/>
      <c r="D77" s="907"/>
      <c r="E77" s="907"/>
      <c r="F77" s="907"/>
      <c r="G77" s="907"/>
      <c r="H77" s="207" t="str">
        <f>nmProd3&amp; " Investment Analysis"</f>
        <v>Personal Computing Investment Analysis</v>
      </c>
      <c r="I77" s="195"/>
      <c r="J77" s="195"/>
      <c r="K77" s="195"/>
      <c r="L77" s="195"/>
      <c r="M77" s="195"/>
      <c r="N77" s="195"/>
      <c r="O77" s="195"/>
    </row>
    <row r="80" spans="2:26" ht="24.6">
      <c r="B80" s="198" t="str">
        <f>nmProd3Offering1</f>
        <v>Doors OS</v>
      </c>
    </row>
    <row r="82" spans="2:20" s="198" customFormat="1" ht="25.2" customHeight="1">
      <c r="B82" s="902" t="s">
        <v>3101</v>
      </c>
      <c r="C82" s="195"/>
      <c r="D82" s="213">
        <f>INDEX(cbalEGProd3Offering1,xxIndexTeam)</f>
        <v>7</v>
      </c>
      <c r="E82" s="213"/>
      <c r="F82" s="195"/>
      <c r="G82" s="195"/>
      <c r="H82" s="195"/>
      <c r="I82" s="195"/>
      <c r="J82" s="195"/>
      <c r="K82" s="195"/>
      <c r="L82" s="195"/>
      <c r="M82" s="195"/>
      <c r="N82" s="195"/>
      <c r="O82" s="195"/>
      <c r="P82" s="201"/>
      <c r="Q82" s="201"/>
      <c r="R82" s="201"/>
      <c r="S82" s="201"/>
      <c r="T82" s="201"/>
    </row>
    <row r="83" spans="2:20" ht="24.6">
      <c r="B83" s="902" t="s">
        <v>3102</v>
      </c>
      <c r="D83" s="213">
        <f>INDEX(calcEGProd3Offering1ETUs,xxIndexTeam)</f>
        <v>0</v>
      </c>
      <c r="E83" s="213"/>
    </row>
    <row r="84" spans="2:20" s="198" customFormat="1" ht="25.2" customHeight="1">
      <c r="B84" s="195"/>
      <c r="C84" s="195"/>
      <c r="D84" s="195"/>
      <c r="E84" s="195"/>
      <c r="F84" s="195"/>
      <c r="G84" s="195"/>
      <c r="H84" s="195"/>
      <c r="I84" s="195"/>
      <c r="J84" s="195"/>
      <c r="K84" s="195"/>
      <c r="L84" s="195"/>
      <c r="M84" s="195"/>
      <c r="N84" s="195"/>
      <c r="O84" s="195"/>
      <c r="P84" s="201"/>
      <c r="Q84" s="201"/>
      <c r="R84" s="201"/>
      <c r="S84" s="201"/>
      <c r="T84" s="201"/>
    </row>
    <row r="86" spans="2:20" ht="24.6">
      <c r="B86" s="198" t="str">
        <f>nmProd3Offering2</f>
        <v>Devices</v>
      </c>
    </row>
    <row r="88" spans="2:20" ht="24.6">
      <c r="B88" s="902" t="s">
        <v>3101</v>
      </c>
      <c r="D88" s="213">
        <f>INDEX(cbalEGProd3Offering2,xxIndexTeam)</f>
        <v>6</v>
      </c>
      <c r="E88" s="213"/>
    </row>
    <row r="89" spans="2:20" s="198" customFormat="1" ht="25.2" customHeight="1">
      <c r="B89" s="902" t="s">
        <v>3102</v>
      </c>
      <c r="C89" s="195"/>
      <c r="D89" s="213">
        <f>INDEX(calcEGProd3Offering2ETUs,xxIndexTeam)</f>
        <v>0</v>
      </c>
      <c r="E89" s="213"/>
      <c r="F89" s="195"/>
      <c r="G89" s="195"/>
      <c r="H89" s="195"/>
      <c r="I89" s="195"/>
      <c r="J89" s="195"/>
      <c r="K89" s="195"/>
      <c r="L89" s="195"/>
      <c r="M89" s="195"/>
      <c r="N89" s="195"/>
      <c r="O89" s="195"/>
      <c r="P89" s="201"/>
      <c r="Q89" s="201"/>
      <c r="R89" s="201"/>
      <c r="S89" s="201"/>
      <c r="T89" s="201"/>
    </row>
  </sheetData>
  <sheetProtection selectLockedCells="1"/>
  <mergeCells count="4">
    <mergeCell ref="F2:F4"/>
    <mergeCell ref="F5:F7"/>
    <mergeCell ref="F8:F10"/>
    <mergeCell ref="A1:D12"/>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pageSetUpPr autoPageBreaks="0"/>
  </sheetPr>
  <dimension ref="A1:AC90"/>
  <sheetViews>
    <sheetView zoomScale="40" zoomScaleNormal="40" workbookViewId="0">
      <pane ySplit="12" topLeftCell="A42" activePane="bottomLeft" state="frozen"/>
      <selection pane="bottomLeft" activeCell="X46" sqref="X46"/>
    </sheetView>
  </sheetViews>
  <sheetFormatPr defaultColWidth="8.81640625" defaultRowHeight="19.2"/>
  <cols>
    <col min="1" max="1" width="3.453125" style="195" customWidth="1"/>
    <col min="2" max="2" width="24.7265625" style="195" customWidth="1"/>
    <col min="3" max="4" width="3.453125" style="195" customWidth="1"/>
    <col min="5" max="5" width="26.453125" style="195" customWidth="1"/>
    <col min="6" max="7" width="3.453125" style="195" customWidth="1"/>
    <col min="8" max="8" width="26.453125" style="195" customWidth="1"/>
    <col min="9" max="10" width="3.453125" style="195" customWidth="1"/>
    <col min="11" max="11" width="26.453125" style="195" customWidth="1"/>
    <col min="12" max="12" width="3.36328125" style="195" customWidth="1"/>
    <col min="13" max="13" width="3.453125" style="195" customWidth="1"/>
    <col min="14" max="14" width="26.453125" style="195" customWidth="1"/>
    <col min="15" max="16" width="3.453125" style="195" customWidth="1"/>
    <col min="17" max="17" width="26.453125" style="195" customWidth="1"/>
    <col min="18" max="19" width="3.453125" style="195" customWidth="1"/>
    <col min="20" max="20" width="26.453125" style="195" customWidth="1"/>
    <col min="21" max="21" width="5.90625" style="195" customWidth="1"/>
    <col min="22" max="22" width="26.453125" style="195" customWidth="1"/>
    <col min="23" max="23" width="3.453125" style="195" customWidth="1"/>
    <col min="24" max="24" width="24.7265625" style="195" customWidth="1"/>
    <col min="25" max="25" width="3.453125" style="195" customWidth="1"/>
    <col min="26" max="26" width="20.7265625" style="195" customWidth="1"/>
    <col min="27" max="16384" width="8.81640625" style="195"/>
  </cols>
  <sheetData>
    <row r="1" spans="1:29" s="197" customFormat="1" ht="37.950000000000003" customHeight="1">
      <c r="A1" s="1298" t="s">
        <v>2686</v>
      </c>
      <c r="B1" s="1298"/>
      <c r="C1" s="1298"/>
      <c r="D1" s="1298"/>
      <c r="E1" s="1298"/>
      <c r="F1" s="184"/>
      <c r="G1" s="184"/>
      <c r="H1" s="252"/>
      <c r="I1" s="253"/>
      <c r="J1" s="253"/>
      <c r="K1" s="253"/>
      <c r="L1" s="253"/>
      <c r="M1" s="253"/>
      <c r="N1" s="253"/>
      <c r="O1" s="253"/>
      <c r="P1" s="253"/>
      <c r="Q1" s="253"/>
      <c r="R1" s="253"/>
      <c r="S1" s="253"/>
      <c r="T1" s="253"/>
      <c r="U1" s="253"/>
    </row>
    <row r="2" spans="1:29" s="186" customFormat="1" ht="21" customHeight="1">
      <c r="A2" s="1298"/>
      <c r="B2" s="1298"/>
      <c r="C2" s="1298"/>
      <c r="D2" s="1298"/>
      <c r="E2" s="1298"/>
      <c r="F2" s="196"/>
      <c r="G2" s="196"/>
      <c r="H2" s="1291" t="s">
        <v>3255</v>
      </c>
      <c r="I2" s="1092"/>
      <c r="J2" s="1092"/>
      <c r="K2" s="1263" t="s">
        <v>395</v>
      </c>
      <c r="L2" s="1092"/>
      <c r="M2" s="1092"/>
      <c r="N2" s="1259" t="s">
        <v>117</v>
      </c>
      <c r="O2" s="1092"/>
      <c r="P2" s="1092"/>
      <c r="Q2" s="1259" t="s">
        <v>206</v>
      </c>
      <c r="R2" s="1092"/>
      <c r="S2" s="1092"/>
      <c r="T2" s="1259" t="s">
        <v>396</v>
      </c>
      <c r="U2" s="1093"/>
      <c r="Z2" s="189"/>
    </row>
    <row r="3" spans="1:29" s="186" customFormat="1" ht="21" customHeight="1">
      <c r="A3" s="1298"/>
      <c r="B3" s="1298"/>
      <c r="C3" s="1298"/>
      <c r="D3" s="1298"/>
      <c r="E3" s="1298"/>
      <c r="F3" s="196"/>
      <c r="G3" s="196"/>
      <c r="H3" s="1292"/>
      <c r="I3" s="1094"/>
      <c r="J3" s="1094"/>
      <c r="K3" s="1279">
        <f>INDEX(cbalTotalCLV,xxIndexTeam)/1000000</f>
        <v>1572.7737531877312</v>
      </c>
      <c r="L3" s="1281"/>
      <c r="M3" s="1281"/>
      <c r="N3" s="1279">
        <f>INDEX(finPNLTotalRev,xxIndexTeam)/1000000</f>
        <v>1082.9839404293339</v>
      </c>
      <c r="O3" s="1281"/>
      <c r="P3" s="1281"/>
      <c r="Q3" s="1279">
        <f>INDEX(finPNLTotalGrossProfit,xxIndexTeam)/1000000</f>
        <v>725.5332942945796</v>
      </c>
      <c r="R3" s="1281"/>
      <c r="S3" s="1281"/>
      <c r="T3" s="1279">
        <f>INDEX(finPNLTotalOpsProfit,xxIndexTeam)/1000000</f>
        <v>582.78329429457972</v>
      </c>
      <c r="Z3" s="189"/>
    </row>
    <row r="4" spans="1:29" s="186" customFormat="1" ht="21" customHeight="1">
      <c r="A4" s="1298"/>
      <c r="B4" s="1298"/>
      <c r="C4" s="1298"/>
      <c r="D4" s="1298"/>
      <c r="E4" s="1298"/>
      <c r="F4" s="196"/>
      <c r="G4" s="196"/>
      <c r="H4" s="1293"/>
      <c r="I4" s="1260"/>
      <c r="J4" s="1260"/>
      <c r="K4" s="211"/>
      <c r="L4" s="1282"/>
      <c r="M4" s="1282"/>
      <c r="N4" s="1273">
        <f>INDEX(finPNLTotalRevGrowth,xxIndexTeam)</f>
        <v>0.13562840108960605</v>
      </c>
      <c r="O4" s="1283"/>
      <c r="P4" s="1283"/>
      <c r="Q4" s="1273">
        <f>INDEX(finPNLTotalGrossMargin,xxIndexTeam)</f>
        <v>0.6699391073213441</v>
      </c>
      <c r="R4" s="1283"/>
      <c r="S4" s="1283"/>
      <c r="T4" s="1273">
        <f>INDEX(finPNLTotalOpsMargin,xxIndexTeam)</f>
        <v>0.53812736508682057</v>
      </c>
      <c r="U4" s="1262"/>
    </row>
    <row r="5" spans="1:29" s="186" customFormat="1" ht="21" customHeight="1">
      <c r="A5" s="1298"/>
      <c r="B5" s="1298"/>
      <c r="C5" s="1298"/>
      <c r="D5" s="1298"/>
      <c r="E5" s="1298"/>
      <c r="F5" s="196"/>
      <c r="G5" s="196"/>
      <c r="H5" s="1291" t="s">
        <v>3256</v>
      </c>
      <c r="I5" s="1092"/>
      <c r="J5" s="1092"/>
      <c r="K5" s="1263" t="s">
        <v>399</v>
      </c>
      <c r="L5" s="1092"/>
      <c r="M5" s="1092"/>
      <c r="N5" s="1263" t="s">
        <v>400</v>
      </c>
      <c r="O5" s="1092"/>
      <c r="P5" s="1092"/>
      <c r="Q5" s="1263" t="s">
        <v>1741</v>
      </c>
      <c r="R5" s="1092"/>
      <c r="S5" s="1092"/>
      <c r="T5" s="1259"/>
      <c r="U5" s="1093"/>
      <c r="Z5" s="189"/>
    </row>
    <row r="6" spans="1:29" s="186" customFormat="1" ht="21" customHeight="1">
      <c r="A6" s="1298"/>
      <c r="B6" s="1298"/>
      <c r="C6" s="1298"/>
      <c r="D6" s="1298"/>
      <c r="E6" s="1298"/>
      <c r="F6" s="196"/>
      <c r="G6" s="196"/>
      <c r="H6" s="1292"/>
      <c r="I6" s="1094"/>
      <c r="J6" s="1094"/>
      <c r="K6" s="1266">
        <f>INDEX(cbalCloudAdoption,xxIndexTeam)</f>
        <v>0.83995427246632004</v>
      </c>
      <c r="L6" s="1094"/>
      <c r="M6" s="1094"/>
      <c r="N6" s="1266">
        <f>INDEX(cbalAvgConsumption,xxIndexTeam)</f>
        <v>0.14889885236960354</v>
      </c>
      <c r="O6" s="1094"/>
      <c r="P6" s="1094"/>
      <c r="Q6" s="1266">
        <f>1-INDEX(cbalAvgRenRate,xxIndexTeam)</f>
        <v>0.31005617740451386</v>
      </c>
      <c r="R6" s="1094"/>
      <c r="S6" s="1094"/>
      <c r="T6" s="237"/>
      <c r="Z6" s="189"/>
    </row>
    <row r="7" spans="1:29" s="186" customFormat="1" ht="21" customHeight="1">
      <c r="A7" s="1298"/>
      <c r="B7" s="1298"/>
      <c r="C7" s="1298"/>
      <c r="D7" s="1298"/>
      <c r="E7" s="1298"/>
      <c r="F7" s="196"/>
      <c r="G7" s="196"/>
      <c r="H7" s="1293"/>
      <c r="I7" s="1260"/>
      <c r="J7" s="1260"/>
      <c r="K7" s="1265"/>
      <c r="L7" s="1260"/>
      <c r="M7" s="1260"/>
      <c r="N7" s="1261"/>
      <c r="O7" s="1260"/>
      <c r="P7" s="1260"/>
      <c r="Q7" s="1261"/>
      <c r="R7" s="1260"/>
      <c r="S7" s="1260"/>
      <c r="T7" s="1261"/>
      <c r="U7" s="1262"/>
    </row>
    <row r="8" spans="1:29" s="186" customFormat="1" ht="21" customHeight="1">
      <c r="A8" s="1298"/>
      <c r="B8" s="1298"/>
      <c r="C8" s="1298"/>
      <c r="D8" s="1298"/>
      <c r="E8" s="1298"/>
      <c r="F8" s="196"/>
      <c r="G8" s="196"/>
      <c r="H8" s="1291" t="s">
        <v>3257</v>
      </c>
      <c r="I8" s="1092"/>
      <c r="J8" s="1092"/>
      <c r="K8" s="1263" t="s">
        <v>394</v>
      </c>
      <c r="L8" s="1092"/>
      <c r="M8" s="1092"/>
      <c r="N8" s="1263" t="s">
        <v>2665</v>
      </c>
      <c r="O8" s="1092"/>
      <c r="P8" s="1092"/>
      <c r="Q8" s="1263" t="s">
        <v>170</v>
      </c>
      <c r="R8" s="1092"/>
      <c r="S8" s="1092"/>
      <c r="T8" s="1259"/>
      <c r="U8" s="1093"/>
      <c r="Z8" s="189"/>
    </row>
    <row r="9" spans="1:29" s="186" customFormat="1" ht="21" customHeight="1">
      <c r="A9" s="1298"/>
      <c r="B9" s="1298"/>
      <c r="C9" s="1298"/>
      <c r="D9" s="1298"/>
      <c r="E9" s="1298"/>
      <c r="F9" s="196"/>
      <c r="G9" s="196"/>
      <c r="H9" s="1292"/>
      <c r="I9" s="1094"/>
      <c r="J9" s="1094"/>
      <c r="K9" s="1267">
        <f ca="1">INDEX(cbalWHI,xxIndexTeam)</f>
        <v>79.546374999999998</v>
      </c>
      <c r="L9" s="1094"/>
      <c r="M9" s="1094"/>
      <c r="N9" s="1267">
        <f>INDEX(cbalCPE,xxIndexTeam)</f>
        <v>78.678750000000008</v>
      </c>
      <c r="O9" s="1094"/>
      <c r="P9" s="1094"/>
      <c r="Q9" s="1275">
        <f>INDEX(calcFTEsRemaining,xxIndexTeam)</f>
        <v>750</v>
      </c>
      <c r="R9" s="1094"/>
      <c r="S9" s="1094"/>
      <c r="T9" s="237"/>
      <c r="Z9" s="189"/>
    </row>
    <row r="10" spans="1:29" s="186" customFormat="1" ht="21" customHeight="1">
      <c r="A10" s="1298"/>
      <c r="B10" s="1298"/>
      <c r="C10" s="1298"/>
      <c r="D10" s="1298"/>
      <c r="E10" s="1298"/>
      <c r="F10" s="196"/>
      <c r="G10" s="196"/>
      <c r="H10" s="1293"/>
      <c r="I10" s="1260"/>
      <c r="J10" s="1260"/>
      <c r="K10" s="1261"/>
      <c r="L10" s="1260"/>
      <c r="M10" s="1260"/>
      <c r="N10" s="1261"/>
      <c r="O10" s="1260"/>
      <c r="P10" s="1260"/>
      <c r="Q10" s="1261"/>
      <c r="R10" s="1260"/>
      <c r="S10" s="1260"/>
      <c r="T10" s="1261"/>
      <c r="U10" s="1262"/>
    </row>
    <row r="11" spans="1:29" s="186" customFormat="1" ht="124.95" customHeight="1">
      <c r="A11" s="1298"/>
      <c r="B11" s="1298"/>
      <c r="C11" s="1298"/>
      <c r="D11" s="1298"/>
      <c r="E11" s="1298"/>
      <c r="F11" s="196"/>
      <c r="G11" s="196"/>
      <c r="H11" s="1065" t="s">
        <v>2863</v>
      </c>
      <c r="I11" s="1064"/>
      <c r="J11" s="1064"/>
      <c r="K11" s="190" t="s">
        <v>117</v>
      </c>
      <c r="L11" s="187"/>
      <c r="M11" s="187"/>
      <c r="N11" s="190" t="s">
        <v>1707</v>
      </c>
      <c r="O11" s="187"/>
      <c r="P11" s="187"/>
      <c r="Q11" s="190" t="s">
        <v>974</v>
      </c>
      <c r="R11" s="187"/>
      <c r="S11" s="187"/>
      <c r="T11" s="190" t="s">
        <v>3279</v>
      </c>
      <c r="U11" s="188"/>
      <c r="AB11" s="186" t="s">
        <v>2875</v>
      </c>
      <c r="AC11" s="186" t="s">
        <v>122</v>
      </c>
    </row>
    <row r="12" spans="1:29" s="191" customFormat="1" ht="62.4" customHeight="1">
      <c r="A12" s="1298"/>
      <c r="B12" s="1298"/>
      <c r="C12" s="1298"/>
      <c r="D12" s="1298"/>
      <c r="E12" s="1298"/>
      <c r="V12" s="192"/>
    </row>
    <row r="13" spans="1:29" s="191" customFormat="1" ht="25.2" customHeight="1">
      <c r="B13" s="249"/>
      <c r="C13" s="249"/>
      <c r="D13" s="249"/>
      <c r="E13" s="249"/>
      <c r="F13" s="249"/>
      <c r="G13" s="249"/>
      <c r="H13" s="250"/>
      <c r="I13" s="1108"/>
      <c r="J13" s="250"/>
      <c r="K13" s="250"/>
      <c r="L13" s="249"/>
      <c r="M13" s="249"/>
      <c r="N13" s="250"/>
      <c r="O13" s="249"/>
      <c r="P13" s="249"/>
      <c r="Q13" s="249"/>
      <c r="R13" s="249"/>
      <c r="S13" s="249"/>
      <c r="T13" s="250"/>
      <c r="U13" s="249"/>
      <c r="V13" s="242"/>
      <c r="W13" s="194"/>
      <c r="X13" s="242"/>
      <c r="Y13" s="194"/>
      <c r="Z13" s="242"/>
    </row>
    <row r="14" spans="1:29" s="198" customFormat="1" ht="33.6" customHeight="1">
      <c r="B14" s="949" t="s">
        <v>488</v>
      </c>
      <c r="H14" s="201"/>
      <c r="I14" s="1099"/>
      <c r="J14" s="242"/>
      <c r="K14" s="504" t="s">
        <v>1646</v>
      </c>
    </row>
    <row r="15" spans="1:29" s="198" customFormat="1" ht="33.6" customHeight="1">
      <c r="B15" s="243"/>
      <c r="H15" s="201"/>
      <c r="I15" s="1098"/>
      <c r="J15" s="242"/>
    </row>
    <row r="16" spans="1:29" s="198" customFormat="1" ht="33.6" customHeight="1">
      <c r="E16" s="240" t="s">
        <v>170</v>
      </c>
      <c r="F16" s="231"/>
      <c r="H16" s="236"/>
      <c r="I16" s="1098"/>
      <c r="J16" s="242"/>
      <c r="N16" s="231"/>
    </row>
    <row r="17" spans="1:29" s="198" customFormat="1" ht="33.6" customHeight="1">
      <c r="B17" s="243"/>
      <c r="H17" s="201"/>
      <c r="I17" s="1098"/>
      <c r="J17" s="201"/>
    </row>
    <row r="18" spans="1:29" s="198" customFormat="1" ht="33.6" customHeight="1">
      <c r="B18" s="201" t="s">
        <v>3208</v>
      </c>
      <c r="E18" s="896">
        <v>15</v>
      </c>
      <c r="H18" s="238"/>
      <c r="I18" s="1098"/>
      <c r="J18" s="201"/>
    </row>
    <row r="19" spans="1:29" s="198" customFormat="1" ht="33.6" customHeight="1">
      <c r="B19" s="1218" t="s">
        <v>2840</v>
      </c>
      <c r="E19" s="232">
        <f>INDEX(obalOpsITFTEs,xxIndexTeam)</f>
        <v>15</v>
      </c>
      <c r="F19" s="232"/>
      <c r="H19" s="239"/>
      <c r="I19" s="1098"/>
      <c r="J19" s="201"/>
    </row>
    <row r="20" spans="1:29" s="198" customFormat="1" ht="33.6" customHeight="1">
      <c r="B20" s="243"/>
      <c r="H20" s="201"/>
      <c r="I20" s="1098"/>
      <c r="J20" s="201"/>
    </row>
    <row r="21" spans="1:29" s="198" customFormat="1" ht="33.6" customHeight="1">
      <c r="B21" s="201" t="s">
        <v>3209</v>
      </c>
      <c r="E21" s="896">
        <v>40</v>
      </c>
      <c r="H21" s="238"/>
      <c r="I21" s="1098"/>
      <c r="J21" s="201"/>
    </row>
    <row r="22" spans="1:29" s="198" customFormat="1" ht="33.6" customHeight="1">
      <c r="B22" s="1218" t="s">
        <v>2840</v>
      </c>
      <c r="E22" s="232">
        <f>INDEX(obalOpsGlobalDemandCenterFTEs,xxIndexTeam)</f>
        <v>40</v>
      </c>
      <c r="F22" s="232"/>
      <c r="H22" s="239"/>
      <c r="I22" s="1098"/>
      <c r="J22" s="201"/>
    </row>
    <row r="23" spans="1:29" s="198" customFormat="1" ht="24.6" customHeight="1">
      <c r="H23" s="214"/>
      <c r="I23" s="1098"/>
      <c r="J23" s="201"/>
      <c r="X23" s="242"/>
      <c r="Z23" s="242"/>
      <c r="AC23" s="193"/>
    </row>
    <row r="24" spans="1:29" s="198" customFormat="1" ht="33.6" customHeight="1">
      <c r="B24" s="198" t="s">
        <v>489</v>
      </c>
      <c r="E24" s="896">
        <v>10</v>
      </c>
      <c r="I24" s="1098"/>
      <c r="J24" s="201"/>
      <c r="K24" s="193"/>
      <c r="N24" s="231"/>
    </row>
    <row r="25" spans="1:29" s="198" customFormat="1" ht="24.6">
      <c r="B25" s="1218" t="s">
        <v>2840</v>
      </c>
      <c r="E25" s="232">
        <f>INDEX(obalOpsSupplyChainFTEs,xxIndexTeam)</f>
        <v>10</v>
      </c>
      <c r="F25" s="232"/>
      <c r="I25" s="1098"/>
      <c r="J25" s="201"/>
      <c r="T25" s="202"/>
    </row>
    <row r="26" spans="1:29" s="198" customFormat="1" ht="33.6" customHeight="1">
      <c r="A26" s="244"/>
      <c r="B26" s="244"/>
      <c r="C26" s="244"/>
      <c r="D26" s="244"/>
      <c r="E26" s="244"/>
      <c r="F26" s="244"/>
      <c r="G26" s="244"/>
      <c r="H26" s="244"/>
      <c r="I26" s="1099"/>
      <c r="J26" s="242"/>
      <c r="K26" s="244"/>
      <c r="L26" s="244"/>
      <c r="M26" s="244"/>
      <c r="N26" s="244"/>
      <c r="O26" s="244"/>
      <c r="P26" s="244"/>
      <c r="Q26" s="244"/>
      <c r="R26" s="244"/>
      <c r="S26" s="244"/>
      <c r="T26" s="244"/>
      <c r="U26" s="244"/>
    </row>
    <row r="27" spans="1:29" s="198" customFormat="1" ht="33.6" customHeight="1">
      <c r="B27" s="203" t="s">
        <v>458</v>
      </c>
      <c r="C27" s="244"/>
      <c r="E27" s="896">
        <v>10</v>
      </c>
      <c r="G27" s="244"/>
      <c r="H27" s="244"/>
      <c r="I27" s="1099"/>
      <c r="J27" s="242"/>
      <c r="K27" s="244"/>
      <c r="L27" s="244"/>
      <c r="M27" s="244"/>
      <c r="N27" s="244"/>
      <c r="O27" s="244"/>
      <c r="P27" s="244"/>
      <c r="Q27" s="244"/>
      <c r="R27" s="244"/>
      <c r="S27" s="244"/>
      <c r="T27" s="244"/>
      <c r="U27" s="244"/>
    </row>
    <row r="28" spans="1:29" s="198" customFormat="1" ht="24.6">
      <c r="B28" s="1218" t="s">
        <v>2840</v>
      </c>
      <c r="E28" s="232">
        <f>INDEX(obalOpsCollabFTEs,xxIndexTeam)</f>
        <v>10</v>
      </c>
      <c r="F28" s="232"/>
      <c r="I28" s="1098"/>
      <c r="J28" s="201"/>
      <c r="T28" s="202"/>
    </row>
    <row r="29" spans="1:29" s="198" customFormat="1" ht="33.6" customHeight="1">
      <c r="B29" s="504"/>
      <c r="H29" s="201"/>
      <c r="I29" s="1109"/>
      <c r="J29" s="504"/>
      <c r="K29" s="504"/>
    </row>
    <row r="30" spans="1:29" s="198" customFormat="1" ht="33.6" customHeight="1">
      <c r="B30" s="504"/>
      <c r="H30" s="201"/>
      <c r="I30" s="1109"/>
      <c r="J30" s="504"/>
      <c r="K30" s="504"/>
    </row>
    <row r="31" spans="1:29" s="191" customFormat="1" ht="25.2" customHeight="1">
      <c r="B31" s="249"/>
      <c r="C31" s="249"/>
      <c r="D31" s="249"/>
      <c r="E31" s="249"/>
      <c r="F31" s="249"/>
      <c r="G31" s="249"/>
      <c r="H31" s="250"/>
      <c r="I31" s="1107"/>
      <c r="J31" s="249"/>
      <c r="K31" s="249"/>
      <c r="L31" s="249"/>
      <c r="M31" s="249"/>
      <c r="N31" s="250"/>
      <c r="O31" s="249"/>
      <c r="P31" s="249"/>
      <c r="Q31" s="249"/>
      <c r="R31" s="249"/>
      <c r="S31" s="249"/>
      <c r="T31" s="250"/>
      <c r="U31" s="249"/>
      <c r="V31" s="242"/>
      <c r="W31" s="194"/>
      <c r="X31" s="242"/>
      <c r="Y31" s="194"/>
      <c r="Z31" s="242"/>
    </row>
    <row r="32" spans="1:29" s="198" customFormat="1" ht="33.6" customHeight="1">
      <c r="B32" s="231"/>
      <c r="I32" s="1098"/>
      <c r="J32" s="193"/>
      <c r="K32" s="193"/>
      <c r="Y32" s="242"/>
    </row>
    <row r="33" spans="1:26" s="191" customFormat="1" ht="33.6" customHeight="1">
      <c r="B33" s="199" t="s">
        <v>924</v>
      </c>
      <c r="I33" s="1099"/>
      <c r="K33" s="199" t="s">
        <v>925</v>
      </c>
      <c r="N33" s="241"/>
    </row>
    <row r="34" spans="1:26" s="198" customFormat="1" ht="33.6" customHeight="1">
      <c r="I34" s="1098"/>
      <c r="K34" s="193"/>
      <c r="Y34" s="242"/>
    </row>
    <row r="35" spans="1:26" s="198" customFormat="1" ht="33.6" customHeight="1">
      <c r="I35" s="1098"/>
      <c r="K35" s="193"/>
      <c r="Y35" s="242"/>
    </row>
    <row r="36" spans="1:26" s="198" customFormat="1" ht="33.6" customHeight="1">
      <c r="B36" s="231"/>
      <c r="I36" s="1098"/>
      <c r="K36" s="193"/>
      <c r="Y36" s="242"/>
    </row>
    <row r="37" spans="1:26" s="198" customFormat="1" ht="33.6" customHeight="1">
      <c r="B37" s="231" t="s">
        <v>924</v>
      </c>
      <c r="E37" s="896">
        <v>0</v>
      </c>
      <c r="I37" s="1098"/>
      <c r="K37" s="193"/>
      <c r="Y37" s="242"/>
    </row>
    <row r="38" spans="1:26" s="198" customFormat="1" ht="33.6" customHeight="1">
      <c r="B38" s="902" t="s">
        <v>2797</v>
      </c>
      <c r="E38" s="213">
        <f>INDEX(cbalOpsDataCenter,xxIndexTeam)</f>
        <v>1</v>
      </c>
      <c r="I38" s="1098"/>
      <c r="K38"/>
      <c r="S38"/>
      <c r="Y38" s="242"/>
    </row>
    <row r="39" spans="1:26" s="198" customFormat="1" ht="33.6" customHeight="1">
      <c r="B39" s="902" t="s">
        <v>3103</v>
      </c>
      <c r="E39" s="1219">
        <f>INDEX(paramDataCenterCost,xxIndexTeam)*tlInputOpsDataCenter</f>
        <v>0</v>
      </c>
      <c r="I39" s="1098"/>
      <c r="K39" s="193"/>
      <c r="Y39" s="242"/>
    </row>
    <row r="40" spans="1:26" ht="24.6">
      <c r="B40" s="902" t="s">
        <v>3104</v>
      </c>
      <c r="E40" s="1220">
        <v>0.3</v>
      </c>
      <c r="I40" s="1098"/>
      <c r="J40" s="198"/>
      <c r="K40" s="198"/>
    </row>
    <row r="41" spans="1:26" ht="24.6">
      <c r="I41" s="1098"/>
    </row>
    <row r="42" spans="1:26" ht="24.6">
      <c r="I42" s="1098"/>
      <c r="J42" s="201"/>
    </row>
    <row r="43" spans="1:26" ht="24.6">
      <c r="B43" s="202"/>
      <c r="C43" s="202"/>
      <c r="D43" s="202"/>
      <c r="E43" s="202"/>
      <c r="F43" s="202"/>
      <c r="G43" s="202"/>
      <c r="H43" s="202"/>
      <c r="I43" s="1098"/>
      <c r="J43" s="201"/>
      <c r="K43" s="201"/>
      <c r="L43" s="202"/>
      <c r="M43" s="202"/>
      <c r="N43" s="202"/>
      <c r="O43" s="202"/>
      <c r="P43" s="202"/>
      <c r="Q43" s="202"/>
      <c r="R43" s="202"/>
      <c r="S43" s="202"/>
      <c r="T43" s="202"/>
      <c r="U43" s="202"/>
    </row>
    <row r="44" spans="1:26" s="198" customFormat="1" ht="24.6">
      <c r="I44" s="1098"/>
      <c r="J44" s="201"/>
      <c r="K44" s="201"/>
      <c r="T44" s="202"/>
    </row>
    <row r="45" spans="1:26" s="198" customFormat="1" ht="33.6" customHeight="1">
      <c r="B45" s="199"/>
      <c r="I45" s="1110"/>
      <c r="K45" s="193"/>
    </row>
    <row r="46" spans="1:26" s="198" customFormat="1" ht="33.6" customHeight="1">
      <c r="A46" s="1104"/>
      <c r="B46" s="1105"/>
      <c r="C46" s="1104"/>
      <c r="D46" s="1104"/>
      <c r="E46" s="1104"/>
      <c r="F46" s="1104"/>
      <c r="G46" s="1104"/>
      <c r="H46" s="1104"/>
      <c r="I46" s="1104"/>
      <c r="J46" s="1104"/>
      <c r="K46" s="1106"/>
      <c r="L46" s="1104"/>
      <c r="M46" s="1104"/>
      <c r="N46" s="1104"/>
      <c r="O46" s="1104"/>
      <c r="P46" s="1104"/>
      <c r="Q46" s="1104"/>
      <c r="R46" s="1104"/>
      <c r="S46" s="1104"/>
      <c r="T46" s="1104"/>
      <c r="U46" s="1104"/>
    </row>
    <row r="47" spans="1:26" s="198" customFormat="1" ht="33.6" customHeight="1">
      <c r="A47" s="201"/>
      <c r="B47" s="1114" t="s">
        <v>197</v>
      </c>
      <c r="C47" s="201"/>
      <c r="D47" s="201"/>
      <c r="E47" s="201"/>
      <c r="F47" s="201"/>
      <c r="G47" s="201"/>
      <c r="H47" s="201"/>
      <c r="I47" s="201"/>
      <c r="J47" s="201"/>
      <c r="K47" s="505"/>
      <c r="L47" s="201"/>
      <c r="M47" s="201"/>
      <c r="N47" s="201"/>
      <c r="O47" s="201"/>
      <c r="P47" s="201"/>
      <c r="Q47" s="201"/>
      <c r="R47" s="201"/>
      <c r="S47" s="201"/>
      <c r="T47" s="201"/>
      <c r="U47" s="201"/>
    </row>
    <row r="48" spans="1:26" s="198" customFormat="1" ht="25.2" customHeight="1" thickBot="1">
      <c r="B48" s="1114"/>
      <c r="H48" s="201"/>
      <c r="I48" s="201"/>
      <c r="J48" s="201"/>
      <c r="K48" s="201"/>
      <c r="L48" s="201"/>
      <c r="N48" s="201"/>
      <c r="S48" s="201"/>
      <c r="T48" s="201"/>
      <c r="U48" s="201"/>
      <c r="V48" s="201"/>
      <c r="W48" s="201"/>
      <c r="X48" s="201"/>
      <c r="Y48" s="201"/>
      <c r="Z48" s="201"/>
    </row>
    <row r="49" spans="2:26" s="198" customFormat="1" ht="25.2" customHeight="1">
      <c r="F49" s="1295" t="s">
        <v>1100</v>
      </c>
      <c r="G49" s="1296"/>
      <c r="H49" s="1296"/>
      <c r="I49" s="1296"/>
      <c r="J49" s="1296"/>
      <c r="K49" s="1296"/>
      <c r="L49" s="1296"/>
      <c r="M49" s="1296"/>
      <c r="N49" s="1296"/>
      <c r="O49" s="1296"/>
      <c r="P49" s="1297"/>
      <c r="T49" s="201"/>
      <c r="V49" s="201"/>
      <c r="W49" s="201"/>
      <c r="X49" s="201"/>
      <c r="Y49" s="201"/>
      <c r="Z49" s="201"/>
    </row>
    <row r="50" spans="2:26" s="198" customFormat="1" ht="25.2" customHeight="1">
      <c r="C50" s="201"/>
      <c r="D50" s="201"/>
      <c r="E50" s="201"/>
      <c r="F50" s="508"/>
      <c r="G50" s="201"/>
      <c r="H50" s="201"/>
      <c r="I50" s="201"/>
      <c r="J50" s="201"/>
      <c r="K50" s="201"/>
      <c r="L50" s="201"/>
      <c r="M50" s="201"/>
      <c r="N50" s="201"/>
      <c r="O50" s="201"/>
      <c r="P50" s="509"/>
      <c r="Q50" s="201"/>
      <c r="R50" s="201"/>
      <c r="S50" s="201"/>
      <c r="T50" s="201"/>
      <c r="V50" s="201"/>
      <c r="W50" s="201"/>
      <c r="X50" s="201"/>
      <c r="Y50" s="201"/>
      <c r="Z50" s="201"/>
    </row>
    <row r="51" spans="2:26" s="198" customFormat="1" ht="25.2" customHeight="1">
      <c r="C51" s="201"/>
      <c r="D51" s="201"/>
      <c r="E51" s="240"/>
      <c r="F51" s="508"/>
      <c r="G51" s="201"/>
      <c r="H51" s="201"/>
      <c r="I51" s="201"/>
      <c r="J51" s="201"/>
      <c r="K51" s="240" t="s">
        <v>402</v>
      </c>
      <c r="L51" s="201"/>
      <c r="M51" s="201"/>
      <c r="N51" s="201"/>
      <c r="O51" s="201"/>
      <c r="P51" s="509"/>
      <c r="Q51" s="240"/>
      <c r="R51" s="201"/>
      <c r="S51" s="201"/>
      <c r="T51" s="201"/>
    </row>
    <row r="52" spans="2:26" s="198" customFormat="1" ht="25.2" customHeight="1">
      <c r="C52" s="201"/>
      <c r="D52" s="201"/>
      <c r="E52" s="201"/>
      <c r="F52" s="508"/>
      <c r="G52" s="201"/>
      <c r="H52" s="201"/>
      <c r="I52" s="201"/>
      <c r="J52" s="201"/>
      <c r="K52" s="505"/>
      <c r="L52" s="201"/>
      <c r="M52" s="201"/>
      <c r="N52" s="201"/>
      <c r="O52" s="201"/>
      <c r="P52" s="509"/>
      <c r="Q52" s="506"/>
      <c r="R52" s="201"/>
      <c r="S52" s="201"/>
      <c r="T52" s="201"/>
    </row>
    <row r="53" spans="2:26" s="198" customFormat="1" ht="25.2" customHeight="1">
      <c r="B53" s="203"/>
      <c r="C53" s="201"/>
      <c r="D53" s="201"/>
      <c r="E53" s="507"/>
      <c r="F53" s="508"/>
      <c r="G53" s="201"/>
      <c r="H53" s="201"/>
      <c r="I53" s="201"/>
      <c r="J53" s="201"/>
      <c r="K53" s="893">
        <v>1500000</v>
      </c>
      <c r="L53" s="201"/>
      <c r="M53" s="201"/>
      <c r="N53" s="201"/>
      <c r="O53" s="201"/>
      <c r="P53" s="509"/>
      <c r="Q53" s="237"/>
      <c r="R53" s="201"/>
      <c r="S53" s="201"/>
      <c r="T53" s="201"/>
    </row>
    <row r="54" spans="2:26" s="198" customFormat="1" ht="25.2" customHeight="1">
      <c r="C54" s="201"/>
      <c r="D54" s="201"/>
      <c r="E54" s="201"/>
      <c r="F54" s="508"/>
      <c r="G54" s="201"/>
      <c r="H54" s="1218" t="s">
        <v>2840</v>
      </c>
      <c r="I54" s="201"/>
      <c r="J54" s="201"/>
      <c r="K54" s="1221">
        <f>INDEX(obalOpsTotalMarketing,xxIndexTeam)</f>
        <v>1500000</v>
      </c>
      <c r="L54" s="201"/>
      <c r="M54" s="201"/>
      <c r="N54" s="255"/>
      <c r="O54" s="201"/>
      <c r="P54" s="509"/>
      <c r="Q54" s="204"/>
      <c r="R54" s="201"/>
      <c r="S54" s="201"/>
      <c r="T54" s="201"/>
    </row>
    <row r="55" spans="2:26" s="198" customFormat="1" ht="25.2" customHeight="1" thickBot="1">
      <c r="C55" s="201"/>
      <c r="D55" s="201"/>
      <c r="E55" s="201"/>
      <c r="F55" s="510"/>
      <c r="G55" s="511"/>
      <c r="H55" s="511"/>
      <c r="I55" s="511"/>
      <c r="J55" s="511"/>
      <c r="K55" s="512"/>
      <c r="L55" s="511"/>
      <c r="M55" s="511"/>
      <c r="N55" s="511"/>
      <c r="O55" s="511"/>
      <c r="P55" s="513"/>
      <c r="Q55" s="506"/>
      <c r="R55" s="201"/>
      <c r="S55" s="201"/>
      <c r="T55" s="201"/>
    </row>
    <row r="56" spans="2:26" s="198" customFormat="1" ht="25.2" customHeight="1" thickBot="1">
      <c r="C56" s="201"/>
      <c r="G56" s="201"/>
      <c r="M56" s="201"/>
      <c r="N56" s="204"/>
      <c r="O56" s="201"/>
      <c r="P56" s="201"/>
      <c r="R56" s="201"/>
      <c r="T56" s="202"/>
    </row>
    <row r="57" spans="2:26" s="198" customFormat="1" ht="25.2" customHeight="1">
      <c r="C57" s="1295" t="s">
        <v>2864</v>
      </c>
      <c r="D57" s="1296"/>
      <c r="E57" s="1296"/>
      <c r="F57" s="1296"/>
      <c r="G57" s="1296"/>
      <c r="H57" s="1296"/>
      <c r="I57" s="1296"/>
      <c r="J57" s="1297"/>
      <c r="K57" s="201"/>
      <c r="L57" s="1295" t="s">
        <v>2865</v>
      </c>
      <c r="M57" s="1296"/>
      <c r="N57" s="1296"/>
      <c r="O57" s="1296"/>
      <c r="P57" s="1296"/>
      <c r="Q57" s="1296"/>
      <c r="R57" s="1296"/>
      <c r="S57" s="1297"/>
    </row>
    <row r="58" spans="2:26" s="198" customFormat="1" ht="25.2" customHeight="1">
      <c r="C58" s="508"/>
      <c r="D58" s="201"/>
      <c r="E58" s="201"/>
      <c r="F58" s="201"/>
      <c r="G58" s="201"/>
      <c r="H58" s="506"/>
      <c r="I58" s="201"/>
      <c r="J58" s="509"/>
      <c r="K58" s="201"/>
      <c r="L58" s="508"/>
      <c r="M58" s="201"/>
      <c r="N58" s="201"/>
      <c r="O58" s="201"/>
      <c r="P58" s="201"/>
      <c r="Q58" s="201"/>
      <c r="R58" s="201"/>
      <c r="S58" s="509"/>
    </row>
    <row r="59" spans="2:26" s="198" customFormat="1" ht="25.2" customHeight="1">
      <c r="C59" s="508"/>
      <c r="D59" s="201"/>
      <c r="E59" s="236" t="s">
        <v>1101</v>
      </c>
      <c r="F59" s="201"/>
      <c r="G59" s="201"/>
      <c r="H59" s="894">
        <v>0.55000000000000004</v>
      </c>
      <c r="I59" s="201"/>
      <c r="J59" s="509"/>
      <c r="K59" s="201"/>
      <c r="L59" s="508"/>
      <c r="M59" s="201"/>
      <c r="N59" s="236" t="s">
        <v>1101</v>
      </c>
      <c r="O59" s="201"/>
      <c r="P59" s="201"/>
      <c r="Q59" s="515">
        <f>1-tlInputOpsCommercialMarketingBudget</f>
        <v>0.44999999999999996</v>
      </c>
      <c r="R59" s="201"/>
      <c r="S59" s="509"/>
    </row>
    <row r="60" spans="2:26" s="198" customFormat="1" ht="25.2" customHeight="1">
      <c r="C60" s="508"/>
      <c r="D60" s="201"/>
      <c r="E60" s="1218" t="s">
        <v>2841</v>
      </c>
      <c r="F60" s="201"/>
      <c r="G60" s="201"/>
      <c r="H60" s="1221">
        <f>INDEX(cbalCommercialTotalMarketing,xxIndexTeam)/1000</f>
        <v>825.00000000000011</v>
      </c>
      <c r="I60" s="201"/>
      <c r="J60" s="509"/>
      <c r="L60" s="508"/>
      <c r="M60" s="201"/>
      <c r="N60" s="1218" t="s">
        <v>2841</v>
      </c>
      <c r="O60" s="201"/>
      <c r="P60" s="201"/>
      <c r="Q60" s="1221">
        <f>INDEX(cbalConsumerTotalMarketing,xxIndexTeam)/1000</f>
        <v>674.99999999999989</v>
      </c>
      <c r="R60" s="201"/>
      <c r="S60" s="509"/>
    </row>
    <row r="61" spans="2:26" s="198" customFormat="1" ht="25.2" customHeight="1">
      <c r="C61" s="508"/>
      <c r="D61" s="201"/>
      <c r="E61" s="1218" t="s">
        <v>2840</v>
      </c>
      <c r="F61" s="201"/>
      <c r="G61" s="201"/>
      <c r="H61" s="1221">
        <f>INDEX(obalCommercialTotalMarketing,xxIndexTeam)/1000</f>
        <v>825.00000000000011</v>
      </c>
      <c r="I61" s="201"/>
      <c r="J61" s="509"/>
      <c r="K61" s="201"/>
      <c r="L61" s="508"/>
      <c r="M61" s="201"/>
      <c r="N61" s="1218" t="s">
        <v>2840</v>
      </c>
      <c r="O61" s="201"/>
      <c r="P61" s="201"/>
      <c r="Q61" s="1221">
        <f>INDEX(obalConsumerTotalMarketing,xxIndexTeam)/1000</f>
        <v>674.99999999999989</v>
      </c>
      <c r="R61" s="201"/>
      <c r="S61" s="509"/>
    </row>
    <row r="62" spans="2:26" s="198" customFormat="1" ht="25.2" customHeight="1" thickBot="1">
      <c r="C62" s="510"/>
      <c r="D62" s="511"/>
      <c r="E62" s="511"/>
      <c r="F62" s="511"/>
      <c r="G62" s="511"/>
      <c r="H62" s="511"/>
      <c r="I62" s="511"/>
      <c r="J62" s="513"/>
      <c r="K62" s="201"/>
      <c r="L62" s="510"/>
      <c r="M62" s="511"/>
      <c r="N62" s="512"/>
      <c r="O62" s="511"/>
      <c r="P62" s="511"/>
      <c r="Q62" s="511"/>
      <c r="R62" s="511"/>
      <c r="S62" s="513"/>
    </row>
    <row r="63" spans="2:26" s="198" customFormat="1" ht="25.2" customHeight="1" thickBot="1">
      <c r="C63" s="201"/>
      <c r="G63" s="201"/>
      <c r="L63" s="201"/>
      <c r="M63" s="201"/>
      <c r="N63" s="204"/>
      <c r="O63" s="201"/>
      <c r="P63" s="201"/>
      <c r="Q63" s="201"/>
      <c r="R63" s="201"/>
      <c r="S63" s="201"/>
      <c r="T63" s="202"/>
    </row>
    <row r="64" spans="2:26" s="198" customFormat="1" ht="25.2" customHeight="1">
      <c r="C64" s="1295" t="s">
        <v>2866</v>
      </c>
      <c r="D64" s="1296"/>
      <c r="E64" s="1296"/>
      <c r="F64" s="1296"/>
      <c r="G64" s="1296"/>
      <c r="H64" s="1296"/>
      <c r="I64" s="1296"/>
      <c r="J64" s="1297"/>
      <c r="K64" s="201"/>
      <c r="L64" s="1295" t="s">
        <v>2866</v>
      </c>
      <c r="M64" s="1296"/>
      <c r="N64" s="1296"/>
      <c r="O64" s="1296"/>
      <c r="P64" s="1296"/>
      <c r="Q64" s="1296"/>
      <c r="R64" s="1296"/>
      <c r="S64" s="1297"/>
      <c r="T64" s="506"/>
    </row>
    <row r="65" spans="2:24" s="198" customFormat="1" ht="25.2" customHeight="1">
      <c r="C65" s="508"/>
      <c r="D65" s="201"/>
      <c r="E65" s="201"/>
      <c r="F65" s="201"/>
      <c r="G65" s="201"/>
      <c r="H65" s="505"/>
      <c r="I65" s="201"/>
      <c r="J65" s="509"/>
      <c r="K65" s="201"/>
      <c r="L65" s="508"/>
      <c r="M65" s="201"/>
      <c r="N65" s="505"/>
      <c r="O65" s="201"/>
      <c r="P65" s="201"/>
      <c r="Q65" s="201"/>
      <c r="R65" s="201"/>
      <c r="S65" s="509"/>
      <c r="T65" s="201"/>
      <c r="U65" s="201"/>
      <c r="V65" s="201"/>
      <c r="W65" s="201"/>
      <c r="X65" s="201"/>
    </row>
    <row r="66" spans="2:24" s="198" customFormat="1" ht="24.6" customHeight="1">
      <c r="C66" s="508"/>
      <c r="D66" s="516" t="str">
        <f>nmProd1&amp; " "</f>
        <v xml:space="preserve">Productivity &amp; Business </v>
      </c>
      <c r="E66" s="516"/>
      <c r="F66" s="201"/>
      <c r="G66" s="201"/>
      <c r="H66" s="895">
        <v>0.4</v>
      </c>
      <c r="I66" s="201"/>
      <c r="J66" s="509"/>
      <c r="K66" s="201"/>
      <c r="L66" s="514"/>
      <c r="M66" s="516" t="str">
        <f>nmProd1&amp; " "</f>
        <v xml:space="preserve">Productivity &amp; Business </v>
      </c>
      <c r="N66" s="516"/>
      <c r="O66" s="236"/>
      <c r="P66" s="201"/>
      <c r="Q66" s="894">
        <v>0.45</v>
      </c>
      <c r="R66" s="201"/>
      <c r="S66" s="509"/>
      <c r="T66" s="201"/>
      <c r="U66" s="201"/>
      <c r="V66" s="201"/>
      <c r="W66" s="201"/>
      <c r="X66" s="201"/>
    </row>
    <row r="67" spans="2:24" s="198" customFormat="1" ht="25.2" customHeight="1">
      <c r="C67" s="508"/>
      <c r="D67" s="255"/>
      <c r="E67" s="1218" t="s">
        <v>2841</v>
      </c>
      <c r="F67" s="201"/>
      <c r="G67" s="201"/>
      <c r="H67" s="1221">
        <f>INDEX(cbalCommercialProd1Marketing,xxIndexTeam)/1000</f>
        <v>330.00000000000006</v>
      </c>
      <c r="I67" s="201"/>
      <c r="J67" s="509"/>
      <c r="K67" s="201"/>
      <c r="L67" s="508"/>
      <c r="M67" s="255"/>
      <c r="N67" s="1218" t="s">
        <v>2841</v>
      </c>
      <c r="O67" s="201"/>
      <c r="P67" s="201"/>
      <c r="Q67" s="1221">
        <f>INDEX(cbalConsumerProd1Marketing,xxIndexTeam)/1000</f>
        <v>303.74999999999994</v>
      </c>
      <c r="R67" s="201"/>
      <c r="S67" s="509"/>
      <c r="T67" s="201"/>
      <c r="U67" s="201"/>
      <c r="V67" s="201"/>
      <c r="W67" s="201"/>
      <c r="X67" s="201"/>
    </row>
    <row r="68" spans="2:24" s="198" customFormat="1" ht="25.2" customHeight="1">
      <c r="C68" s="508"/>
      <c r="D68" s="255"/>
      <c r="E68" s="1218" t="s">
        <v>2840</v>
      </c>
      <c r="F68" s="201"/>
      <c r="G68" s="201"/>
      <c r="H68" s="1221">
        <f>INDEX(obalCommercialProd1Marketing,xxIndexTeam)/1000</f>
        <v>330.00000000000006</v>
      </c>
      <c r="I68" s="201"/>
      <c r="J68" s="509"/>
      <c r="K68" s="201"/>
      <c r="L68" s="508"/>
      <c r="M68" s="255"/>
      <c r="N68" s="1218" t="s">
        <v>2840</v>
      </c>
      <c r="O68" s="201"/>
      <c r="P68" s="201"/>
      <c r="Q68" s="1221">
        <f>INDEX(obalConsumerProd1Marketing,xxIndexTeam)/1000</f>
        <v>303.74999999999994</v>
      </c>
      <c r="R68" s="201"/>
      <c r="S68" s="509"/>
      <c r="T68" s="201"/>
    </row>
    <row r="69" spans="2:24" s="198" customFormat="1" ht="25.2" customHeight="1">
      <c r="B69" s="203"/>
      <c r="C69" s="508"/>
      <c r="D69" s="255"/>
      <c r="E69" s="255"/>
      <c r="F69" s="201"/>
      <c r="G69" s="201"/>
      <c r="H69" s="211"/>
      <c r="I69" s="201"/>
      <c r="J69" s="509"/>
      <c r="K69" s="201"/>
      <c r="L69" s="508"/>
      <c r="M69" s="255"/>
      <c r="N69" s="255"/>
      <c r="O69" s="201"/>
      <c r="P69" s="201"/>
      <c r="Q69" s="201"/>
      <c r="R69" s="201"/>
      <c r="S69" s="509"/>
      <c r="T69" s="201"/>
    </row>
    <row r="70" spans="2:24" s="198" customFormat="1" ht="25.2" customHeight="1">
      <c r="C70" s="508"/>
      <c r="D70" s="255"/>
      <c r="E70" s="255"/>
      <c r="F70" s="201"/>
      <c r="G70" s="201"/>
      <c r="H70" s="505"/>
      <c r="I70" s="201"/>
      <c r="J70" s="509"/>
      <c r="K70" s="201"/>
      <c r="L70" s="508"/>
      <c r="M70" s="255"/>
      <c r="N70" s="255"/>
      <c r="O70" s="201"/>
      <c r="P70" s="201"/>
      <c r="Q70" s="505"/>
      <c r="R70" s="201"/>
      <c r="S70" s="509"/>
      <c r="T70" s="201"/>
    </row>
    <row r="71" spans="2:24" s="198" customFormat="1" ht="25.2" customHeight="1">
      <c r="C71" s="508"/>
      <c r="D71" s="516" t="str">
        <f>nmProd2&amp; " "</f>
        <v xml:space="preserve">Intelligent Cloud </v>
      </c>
      <c r="E71" s="516"/>
      <c r="F71" s="201"/>
      <c r="G71" s="201"/>
      <c r="H71" s="895">
        <v>0.25</v>
      </c>
      <c r="I71" s="506"/>
      <c r="J71" s="509"/>
      <c r="K71" s="201"/>
      <c r="L71" s="508"/>
      <c r="M71" s="516" t="str">
        <f>nmProd3&amp; " "</f>
        <v xml:space="preserve">Personal Computing </v>
      </c>
      <c r="N71" s="516"/>
      <c r="O71" s="201"/>
      <c r="P71" s="201"/>
      <c r="Q71" s="254">
        <f>1-tlInputOpsConsumerProd1Marketing</f>
        <v>0.55000000000000004</v>
      </c>
      <c r="R71" s="201"/>
      <c r="S71" s="509"/>
      <c r="T71" s="201"/>
    </row>
    <row r="72" spans="2:24" s="198" customFormat="1" ht="25.2" customHeight="1">
      <c r="C72" s="508"/>
      <c r="D72" s="255"/>
      <c r="E72" s="1218" t="s">
        <v>2841</v>
      </c>
      <c r="F72" s="201"/>
      <c r="G72" s="201"/>
      <c r="H72" s="1221">
        <f>INDEX(cbalCommercialProd2Marketing,xxIndexTeam)/1000</f>
        <v>206.25000000000003</v>
      </c>
      <c r="I72" s="506"/>
      <c r="J72" s="509"/>
      <c r="K72" s="201"/>
      <c r="L72" s="508"/>
      <c r="M72" s="201"/>
      <c r="N72" s="1218" t="s">
        <v>2841</v>
      </c>
      <c r="O72" s="201"/>
      <c r="P72" s="201"/>
      <c r="Q72" s="1221">
        <f>INDEX(cbalConsumerProd3Marketing,xxIndexTeam)/1000</f>
        <v>371.24999999999994</v>
      </c>
      <c r="R72" s="201"/>
      <c r="S72" s="509"/>
      <c r="T72" s="201"/>
    </row>
    <row r="73" spans="2:24" s="198" customFormat="1" ht="25.2" customHeight="1">
      <c r="C73" s="508"/>
      <c r="D73" s="255"/>
      <c r="E73" s="1218" t="s">
        <v>2840</v>
      </c>
      <c r="F73" s="201"/>
      <c r="G73" s="201"/>
      <c r="H73" s="1221">
        <f>INDEX(obalCommercialProd2Marketing,xxIndexTeam)/1000</f>
        <v>206.25000000000003</v>
      </c>
      <c r="I73" s="506"/>
      <c r="J73" s="509"/>
      <c r="K73" s="201"/>
      <c r="L73" s="508"/>
      <c r="M73" s="201"/>
      <c r="N73" s="1218" t="s">
        <v>2840</v>
      </c>
      <c r="O73" s="201"/>
      <c r="P73" s="201"/>
      <c r="Q73" s="1221">
        <f>INDEX(obalConsumerProd3Marketing,xxIndexTeam)/1000</f>
        <v>371.24999999999994</v>
      </c>
      <c r="R73" s="201"/>
      <c r="S73" s="509"/>
      <c r="T73" s="201"/>
    </row>
    <row r="74" spans="2:24" s="198" customFormat="1" ht="25.2" customHeight="1" thickBot="1">
      <c r="C74" s="508"/>
      <c r="D74" s="255"/>
      <c r="E74" s="255"/>
      <c r="F74" s="201"/>
      <c r="G74" s="201"/>
      <c r="H74" s="201"/>
      <c r="I74" s="201"/>
      <c r="J74" s="509"/>
      <c r="K74" s="201"/>
      <c r="L74" s="510"/>
      <c r="M74" s="518"/>
      <c r="N74" s="518"/>
      <c r="O74" s="511"/>
      <c r="P74" s="511"/>
      <c r="Q74" s="511"/>
      <c r="R74" s="511"/>
      <c r="S74" s="513"/>
      <c r="T74" s="201"/>
    </row>
    <row r="75" spans="2:24" s="198" customFormat="1" ht="25.2" customHeight="1">
      <c r="C75" s="508"/>
      <c r="D75" s="517"/>
      <c r="E75" s="517"/>
      <c r="F75" s="201"/>
      <c r="G75" s="201"/>
      <c r="H75" s="201"/>
      <c r="I75" s="201"/>
      <c r="J75" s="509"/>
      <c r="K75" s="201"/>
      <c r="L75" s="201"/>
      <c r="M75" s="201"/>
      <c r="N75" s="201"/>
      <c r="O75" s="201"/>
      <c r="P75" s="201"/>
      <c r="Q75" s="201"/>
      <c r="R75" s="201"/>
      <c r="S75" s="201"/>
      <c r="T75" s="201"/>
    </row>
    <row r="76" spans="2:24" s="198" customFormat="1" ht="25.2" customHeight="1">
      <c r="C76" s="508"/>
      <c r="D76" s="516" t="str">
        <f>nmProd3&amp; " "</f>
        <v xml:space="preserve">Personal Computing </v>
      </c>
      <c r="E76" s="516"/>
      <c r="F76" s="201"/>
      <c r="G76" s="201"/>
      <c r="H76" s="254">
        <f>1-tlInputOpsCommercialProd1Marketing-tlInputOpsCommercialProd2Marketing</f>
        <v>0.35</v>
      </c>
      <c r="I76" s="201"/>
      <c r="J76" s="509"/>
      <c r="K76" s="201"/>
      <c r="L76" s="201"/>
      <c r="M76" s="201"/>
      <c r="N76" s="201"/>
      <c r="O76" s="201"/>
      <c r="P76" s="201"/>
      <c r="Q76" s="201"/>
      <c r="R76" s="201"/>
      <c r="S76" s="201"/>
      <c r="T76" s="201"/>
    </row>
    <row r="77" spans="2:24" s="198" customFormat="1" ht="25.2" customHeight="1">
      <c r="C77" s="508"/>
      <c r="D77" s="201"/>
      <c r="E77" s="1218" t="s">
        <v>2841</v>
      </c>
      <c r="F77" s="201"/>
      <c r="G77" s="201"/>
      <c r="H77" s="1221">
        <f>INDEX(cbalCommercialProd3Marketing,xxIndexTeam)/1000</f>
        <v>288.75</v>
      </c>
      <c r="I77" s="201"/>
      <c r="J77" s="509"/>
      <c r="K77" s="201"/>
      <c r="L77" s="201"/>
      <c r="M77" s="201"/>
      <c r="N77" s="201"/>
      <c r="O77" s="201"/>
      <c r="P77" s="201"/>
      <c r="Q77" s="201"/>
      <c r="R77" s="201"/>
      <c r="S77" s="201"/>
      <c r="T77" s="201"/>
    </row>
    <row r="78" spans="2:24" s="198" customFormat="1" ht="25.2" customHeight="1">
      <c r="C78" s="508"/>
      <c r="D78" s="201"/>
      <c r="E78" s="1218" t="s">
        <v>2840</v>
      </c>
      <c r="F78" s="201"/>
      <c r="G78" s="201"/>
      <c r="H78" s="1221">
        <f>INDEX(obalCommercialProd3Marketing,xxIndexTeam)/1000</f>
        <v>288.75</v>
      </c>
      <c r="I78" s="201"/>
      <c r="J78" s="509"/>
      <c r="K78" s="201"/>
      <c r="L78" s="201"/>
      <c r="M78" s="201"/>
      <c r="N78" s="201"/>
      <c r="O78" s="201"/>
      <c r="P78" s="201"/>
      <c r="Q78" s="201"/>
      <c r="R78" s="201"/>
      <c r="S78" s="201"/>
      <c r="T78" s="201"/>
    </row>
    <row r="79" spans="2:24" s="198" customFormat="1" ht="25.2" customHeight="1" thickBot="1">
      <c r="C79" s="510"/>
      <c r="D79" s="511"/>
      <c r="E79" s="511"/>
      <c r="F79" s="511"/>
      <c r="G79" s="511"/>
      <c r="H79" s="511"/>
      <c r="I79" s="511"/>
      <c r="J79" s="513"/>
      <c r="K79" s="201"/>
      <c r="L79" s="201"/>
      <c r="M79" s="201"/>
      <c r="N79" s="201"/>
      <c r="O79" s="201"/>
      <c r="P79" s="201"/>
      <c r="Q79" s="201"/>
      <c r="R79" s="201"/>
      <c r="S79" s="201"/>
      <c r="T79" s="201"/>
    </row>
    <row r="80" spans="2:24" s="198" customFormat="1" ht="25.2" customHeight="1">
      <c r="B80" s="202"/>
      <c r="C80" s="202"/>
      <c r="D80" s="202"/>
      <c r="E80" s="202"/>
      <c r="F80" s="202"/>
      <c r="G80" s="202"/>
      <c r="H80" s="202"/>
      <c r="I80" s="202"/>
      <c r="J80" s="202"/>
      <c r="K80" s="202"/>
      <c r="L80" s="202"/>
      <c r="M80" s="202"/>
      <c r="N80" s="202"/>
      <c r="O80" s="202"/>
      <c r="P80" s="202"/>
      <c r="Q80" s="202"/>
      <c r="R80" s="202"/>
      <c r="S80" s="202"/>
      <c r="T80" s="202"/>
      <c r="U80" s="202"/>
    </row>
    <row r="81" spans="9:20" s="198" customFormat="1" ht="24.6">
      <c r="I81" s="201"/>
      <c r="J81" s="201"/>
      <c r="T81" s="202"/>
    </row>
    <row r="82" spans="9:20" ht="24.6">
      <c r="I82" s="948"/>
      <c r="J82" s="201"/>
    </row>
    <row r="83" spans="9:20" ht="24.6">
      <c r="I83" s="948"/>
      <c r="J83" s="201"/>
    </row>
    <row r="84" spans="9:20" ht="24.6">
      <c r="I84" s="948"/>
      <c r="J84" s="201"/>
    </row>
    <row r="85" spans="9:20" ht="24.6">
      <c r="I85" s="948"/>
      <c r="J85" s="201"/>
    </row>
    <row r="86" spans="9:20">
      <c r="I86" s="948"/>
    </row>
    <row r="87" spans="9:20">
      <c r="I87" s="948"/>
    </row>
    <row r="88" spans="9:20">
      <c r="I88" s="948"/>
    </row>
    <row r="89" spans="9:20">
      <c r="I89" s="948"/>
    </row>
    <row r="90" spans="9:20">
      <c r="I90" s="948"/>
    </row>
  </sheetData>
  <sheetProtection selectLockedCells="1"/>
  <mergeCells count="9">
    <mergeCell ref="C57:J57"/>
    <mergeCell ref="L57:S57"/>
    <mergeCell ref="L64:S64"/>
    <mergeCell ref="C64:J64"/>
    <mergeCell ref="H2:H4"/>
    <mergeCell ref="H5:H7"/>
    <mergeCell ref="H8:H10"/>
    <mergeCell ref="A1:E12"/>
    <mergeCell ref="F49:P49"/>
  </mergeCell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4"/>
    <pageSetUpPr autoPageBreaks="0"/>
  </sheetPr>
  <dimension ref="A1:AB136"/>
  <sheetViews>
    <sheetView zoomScale="70" zoomScaleNormal="70" workbookViewId="0">
      <pane ySplit="12" topLeftCell="A90" activePane="bottomLeft" state="frozen"/>
      <selection pane="bottomLeft" activeCell="E14" sqref="E14"/>
    </sheetView>
  </sheetViews>
  <sheetFormatPr defaultColWidth="8.81640625" defaultRowHeight="19.2"/>
  <cols>
    <col min="1" max="1" width="3.453125" style="195" customWidth="1"/>
    <col min="2" max="2" width="31.453125" style="195" customWidth="1"/>
    <col min="3" max="3" width="3.453125" style="195" customWidth="1"/>
    <col min="4" max="4" width="24.7265625" style="195" customWidth="1"/>
    <col min="5" max="5" width="3.453125" style="195" customWidth="1"/>
    <col min="6" max="6" width="26.453125" style="195" customWidth="1"/>
    <col min="7" max="7" width="3.453125" style="195" customWidth="1"/>
    <col min="8" max="8" width="26.453125" style="195" customWidth="1"/>
    <col min="9" max="9" width="3.453125" style="195" customWidth="1"/>
    <col min="10" max="10" width="26.453125" style="195" customWidth="1"/>
    <col min="11" max="11" width="3.453125" style="195" customWidth="1"/>
    <col min="12" max="12" width="26.453125" style="195" customWidth="1"/>
    <col min="13" max="13" width="3.453125" style="195" customWidth="1"/>
    <col min="14" max="14" width="26.453125" style="195" customWidth="1"/>
    <col min="15" max="15" width="3.453125" style="195" customWidth="1"/>
    <col min="16" max="16" width="22.90625" style="195" customWidth="1"/>
    <col min="17" max="17" width="3.453125" style="195" customWidth="1"/>
    <col min="18" max="18" width="26.453125" style="195" customWidth="1"/>
    <col min="19" max="19" width="3.453125" style="195" customWidth="1"/>
    <col min="20" max="20" width="24.7265625" style="195" customWidth="1"/>
    <col min="21" max="21" width="3.453125" style="195" customWidth="1"/>
    <col min="22" max="22" width="20.7265625" style="195" customWidth="1"/>
    <col min="23" max="16384" width="8.81640625" style="195"/>
  </cols>
  <sheetData>
    <row r="1" spans="1:25" s="197" customFormat="1" ht="37.950000000000003" customHeight="1">
      <c r="A1" s="1299" t="s">
        <v>2867</v>
      </c>
      <c r="B1" s="1299"/>
      <c r="C1" s="1299"/>
      <c r="D1" s="1299"/>
      <c r="E1" s="184"/>
      <c r="F1" s="185"/>
    </row>
    <row r="2" spans="1:25" s="186" customFormat="1" ht="21" customHeight="1">
      <c r="A2" s="1299"/>
      <c r="B2" s="1299"/>
      <c r="C2" s="1299"/>
      <c r="D2" s="1299"/>
      <c r="E2" s="1272"/>
      <c r="F2" s="1291" t="s">
        <v>3255</v>
      </c>
      <c r="G2" s="1259"/>
      <c r="H2" s="1263" t="s">
        <v>395</v>
      </c>
      <c r="I2" s="1268"/>
      <c r="J2" s="1259" t="s">
        <v>117</v>
      </c>
      <c r="K2" s="1268"/>
      <c r="L2" s="1259" t="s">
        <v>206</v>
      </c>
      <c r="M2" s="1268"/>
      <c r="N2" s="1259" t="s">
        <v>396</v>
      </c>
      <c r="O2" s="1093"/>
      <c r="T2" s="189"/>
    </row>
    <row r="3" spans="1:25" s="186" customFormat="1" ht="21" customHeight="1">
      <c r="A3" s="1299"/>
      <c r="B3" s="1299"/>
      <c r="C3" s="1299"/>
      <c r="D3" s="1299"/>
      <c r="E3" s="1272"/>
      <c r="F3" s="1292"/>
      <c r="G3" s="1264"/>
      <c r="H3" s="1279">
        <f>INDEX(cbalTotalCLV,xxIndexTeam)/1000000</f>
        <v>1572.7737531877312</v>
      </c>
      <c r="I3" s="1280"/>
      <c r="J3" s="1279">
        <f>INDEX(finPNLTotalRev,xxIndexTeam)/1000000</f>
        <v>1082.9839404293339</v>
      </c>
      <c r="K3" s="1280"/>
      <c r="L3" s="1279">
        <f>INDEX(finPNLTotalGrossProfit,xxIndexTeam)/1000000</f>
        <v>725.5332942945796</v>
      </c>
      <c r="M3" s="1280"/>
      <c r="N3" s="1279">
        <f>INDEX(finPNLTotalOpsProfit,xxIndexTeam)/1000000</f>
        <v>582.78329429457972</v>
      </c>
      <c r="T3" s="189"/>
    </row>
    <row r="4" spans="1:25" s="186" customFormat="1" ht="21" customHeight="1">
      <c r="A4" s="1299"/>
      <c r="B4" s="1299"/>
      <c r="C4" s="1299"/>
      <c r="D4" s="1299"/>
      <c r="E4" s="1272"/>
      <c r="F4" s="1293"/>
      <c r="G4" s="1264"/>
      <c r="H4" s="1265"/>
      <c r="I4" s="1269"/>
      <c r="J4" s="1273">
        <f>INDEX(finPNLTotalRevGrowth,xxIndexTeam)</f>
        <v>0.13562840108960605</v>
      </c>
      <c r="K4" s="1274"/>
      <c r="L4" s="1273">
        <f>INDEX(finPNLTotalGrossMargin,xxIndexTeam)</f>
        <v>0.6699391073213441</v>
      </c>
      <c r="M4" s="1274"/>
      <c r="N4" s="1273">
        <f>INDEX(finPNLTotalOpsMargin,xxIndexTeam)</f>
        <v>0.53812736508682057</v>
      </c>
      <c r="O4" s="1262"/>
      <c r="T4" s="189"/>
    </row>
    <row r="5" spans="1:25" s="186" customFormat="1" ht="21" customHeight="1">
      <c r="A5" s="1299"/>
      <c r="B5" s="1299"/>
      <c r="C5" s="1299"/>
      <c r="D5" s="1299"/>
      <c r="E5" s="1272"/>
      <c r="F5" s="1291" t="s">
        <v>3256</v>
      </c>
      <c r="G5" s="1259"/>
      <c r="H5" s="1263" t="s">
        <v>399</v>
      </c>
      <c r="I5" s="1268"/>
      <c r="J5" s="1263" t="s">
        <v>400</v>
      </c>
      <c r="K5" s="1268"/>
      <c r="L5" s="1263" t="s">
        <v>1741</v>
      </c>
      <c r="M5" s="1268"/>
      <c r="N5" s="1259"/>
      <c r="O5" s="1093"/>
      <c r="T5" s="189"/>
    </row>
    <row r="6" spans="1:25" s="186" customFormat="1" ht="21" customHeight="1">
      <c r="A6" s="1299"/>
      <c r="B6" s="1299"/>
      <c r="C6" s="1299"/>
      <c r="D6" s="1299"/>
      <c r="E6" s="1272"/>
      <c r="F6" s="1292"/>
      <c r="G6" s="1264"/>
      <c r="H6" s="1266">
        <f>INDEX(cbalCloudAdoption,xxIndexTeam)</f>
        <v>0.83995427246632004</v>
      </c>
      <c r="I6" s="1271"/>
      <c r="J6" s="1266">
        <f>INDEX(cbalAvgConsumption,xxIndexTeam)</f>
        <v>0.14889885236960354</v>
      </c>
      <c r="K6" s="1271"/>
      <c r="L6" s="1266">
        <f>1-INDEX(cbalAvgRenRate,xxIndexTeam)</f>
        <v>0.31005617740451386</v>
      </c>
      <c r="M6" s="189"/>
      <c r="N6" s="237"/>
      <c r="T6" s="189"/>
    </row>
    <row r="7" spans="1:25" s="186" customFormat="1" ht="21" customHeight="1">
      <c r="A7" s="1299"/>
      <c r="B7" s="1299"/>
      <c r="C7" s="1299"/>
      <c r="D7" s="1299"/>
      <c r="E7" s="1272"/>
      <c r="F7" s="1293"/>
      <c r="G7" s="1264"/>
      <c r="H7" s="1265"/>
      <c r="I7" s="1269"/>
      <c r="J7" s="1261"/>
      <c r="K7" s="1270"/>
      <c r="L7" s="1261"/>
      <c r="M7" s="1270"/>
      <c r="N7" s="1261"/>
      <c r="O7" s="1262"/>
      <c r="T7" s="189"/>
    </row>
    <row r="8" spans="1:25" s="186" customFormat="1" ht="21" customHeight="1">
      <c r="A8" s="1299"/>
      <c r="B8" s="1299"/>
      <c r="C8" s="1299"/>
      <c r="D8" s="1299"/>
      <c r="E8" s="1272"/>
      <c r="F8" s="1291" t="s">
        <v>3257</v>
      </c>
      <c r="G8" s="1259"/>
      <c r="H8" s="1263" t="s">
        <v>394</v>
      </c>
      <c r="I8" s="1268"/>
      <c r="J8" s="1263" t="s">
        <v>2665</v>
      </c>
      <c r="K8" s="1268"/>
      <c r="L8" s="1263" t="s">
        <v>170</v>
      </c>
      <c r="M8" s="1268"/>
      <c r="N8" s="1259"/>
      <c r="O8" s="1093"/>
      <c r="T8" s="189"/>
    </row>
    <row r="9" spans="1:25" s="186" customFormat="1" ht="21" customHeight="1">
      <c r="A9" s="1299"/>
      <c r="B9" s="1299"/>
      <c r="C9" s="1299"/>
      <c r="D9" s="1299"/>
      <c r="E9" s="1272"/>
      <c r="F9" s="1292"/>
      <c r="G9" s="1264"/>
      <c r="H9" s="1267">
        <f ca="1">INDEX(cbalWHI,xxIndexTeam)</f>
        <v>79.546374999999998</v>
      </c>
      <c r="I9" s="1271"/>
      <c r="J9" s="1267">
        <f>INDEX(cbalCPE,xxIndexTeam)</f>
        <v>78.678750000000008</v>
      </c>
      <c r="K9" s="1271"/>
      <c r="L9" s="1275">
        <f>INDEX(calcFTEsRemaining,xxIndexTeam)</f>
        <v>750</v>
      </c>
      <c r="M9" s="189"/>
      <c r="N9" s="237"/>
      <c r="T9" s="189"/>
    </row>
    <row r="10" spans="1:25" s="186" customFormat="1" ht="21" customHeight="1">
      <c r="A10" s="1299"/>
      <c r="B10" s="1299"/>
      <c r="C10" s="1299"/>
      <c r="D10" s="1299"/>
      <c r="E10" s="1272"/>
      <c r="F10" s="1293"/>
      <c r="G10" s="1261"/>
      <c r="H10" s="1261"/>
      <c r="I10" s="1261"/>
      <c r="J10" s="1261"/>
      <c r="K10" s="1270"/>
      <c r="L10" s="1261"/>
      <c r="M10" s="1270"/>
      <c r="N10" s="1261"/>
      <c r="O10" s="1262"/>
      <c r="T10" s="189"/>
    </row>
    <row r="11" spans="1:25" s="186" customFormat="1" ht="124.95" customHeight="1">
      <c r="A11" s="1299"/>
      <c r="B11" s="1299"/>
      <c r="C11" s="1299"/>
      <c r="D11" s="1299"/>
      <c r="E11" s="271"/>
      <c r="F11" s="1065" t="s">
        <v>2863</v>
      </c>
      <c r="G11" s="1064"/>
      <c r="H11" s="190" t="s">
        <v>117</v>
      </c>
      <c r="I11" s="187"/>
      <c r="J11" s="190" t="s">
        <v>1698</v>
      </c>
      <c r="K11" s="187"/>
      <c r="L11" s="190" t="s">
        <v>974</v>
      </c>
      <c r="M11" s="187"/>
      <c r="N11" s="190" t="s">
        <v>3279</v>
      </c>
      <c r="O11" s="188"/>
      <c r="P11" s="188"/>
      <c r="Q11" s="187"/>
      <c r="X11" s="186" t="s">
        <v>3021</v>
      </c>
      <c r="Y11" s="186" t="s">
        <v>122</v>
      </c>
    </row>
    <row r="12" spans="1:25" s="191" customFormat="1" ht="62.4" customHeight="1">
      <c r="A12" s="1299"/>
      <c r="B12" s="1299"/>
      <c r="C12" s="1299"/>
      <c r="D12" s="1299"/>
      <c r="R12" s="192"/>
    </row>
    <row r="13" spans="1:25" s="198" customFormat="1" ht="25.2" customHeight="1">
      <c r="B13" s="245"/>
      <c r="C13" s="245"/>
      <c r="D13" s="245"/>
      <c r="E13" s="245"/>
      <c r="F13" s="248"/>
      <c r="G13" s="245"/>
      <c r="H13" s="245"/>
      <c r="I13" s="245"/>
      <c r="J13" s="248"/>
      <c r="K13" s="245"/>
      <c r="L13" s="245"/>
      <c r="M13" s="245"/>
      <c r="N13" s="248"/>
      <c r="O13" s="245"/>
      <c r="P13" s="245"/>
      <c r="Q13" s="245"/>
      <c r="R13" s="191"/>
      <c r="S13" s="191"/>
      <c r="T13" s="191"/>
      <c r="U13" s="191"/>
      <c r="V13" s="191"/>
      <c r="W13" s="191"/>
    </row>
    <row r="14" spans="1:25" s="268" customFormat="1" ht="33.6" customHeight="1">
      <c r="B14" s="503" t="s">
        <v>413</v>
      </c>
      <c r="H14" s="265"/>
      <c r="J14" s="219"/>
      <c r="R14" s="191"/>
      <c r="S14" s="191"/>
      <c r="T14" s="191"/>
      <c r="U14" s="191"/>
      <c r="V14" s="191"/>
      <c r="W14" s="191"/>
    </row>
    <row r="15" spans="1:25" s="198" customFormat="1" ht="33.6" customHeight="1">
      <c r="B15" s="206"/>
      <c r="H15" s="193"/>
      <c r="R15" s="191"/>
      <c r="S15" s="191"/>
      <c r="T15" s="191"/>
      <c r="U15" s="191"/>
      <c r="V15" s="191"/>
      <c r="W15" s="191"/>
    </row>
    <row r="16" spans="1:25" s="198" customFormat="1" ht="25.2" customHeight="1">
      <c r="F16" s="201"/>
      <c r="R16" s="191"/>
      <c r="S16" s="191"/>
      <c r="T16" s="191"/>
      <c r="U16" s="191"/>
      <c r="V16" s="191"/>
      <c r="W16" s="191"/>
    </row>
    <row r="17" spans="2:28" s="198" customFormat="1" ht="25.2" customHeight="1">
      <c r="B17" s="198" t="str">
        <f>nmProd1</f>
        <v>Productivity &amp; Business</v>
      </c>
      <c r="F17" s="209"/>
      <c r="H17" s="210"/>
      <c r="J17" s="208"/>
      <c r="N17" s="208"/>
      <c r="R17" s="191"/>
      <c r="S17" s="191"/>
      <c r="T17" s="191"/>
      <c r="U17" s="191"/>
      <c r="V17" s="191"/>
      <c r="W17" s="191"/>
    </row>
    <row r="18" spans="2:28" s="198" customFormat="1" ht="25.2" customHeight="1">
      <c r="F18" s="204"/>
      <c r="G18" s="201"/>
      <c r="H18" s="201"/>
      <c r="I18" s="201"/>
      <c r="J18" s="204"/>
      <c r="M18" s="201"/>
      <c r="N18" s="204"/>
      <c r="O18" s="201"/>
      <c r="P18" s="201"/>
      <c r="Q18" s="201"/>
      <c r="R18" s="191"/>
      <c r="S18" s="191"/>
      <c r="T18" s="191"/>
      <c r="U18" s="191"/>
      <c r="V18" s="191"/>
      <c r="W18" s="191"/>
    </row>
    <row r="19" spans="2:28" s="198" customFormat="1" ht="25.2" customHeight="1">
      <c r="F19" s="204"/>
      <c r="G19" s="201"/>
      <c r="H19" s="201"/>
      <c r="I19" s="201"/>
      <c r="J19" s="204"/>
      <c r="M19" s="201"/>
      <c r="N19" s="204"/>
      <c r="O19" s="201"/>
      <c r="P19" s="201"/>
      <c r="Q19" s="201"/>
      <c r="R19" s="191"/>
      <c r="S19" s="191"/>
      <c r="T19" s="191"/>
      <c r="U19" s="191"/>
      <c r="V19" s="191"/>
      <c r="W19" s="191"/>
    </row>
    <row r="20" spans="2:28" s="198" customFormat="1" ht="25.2" customHeight="1">
      <c r="B20" s="198" t="str">
        <f>nmProd2</f>
        <v>Intelligent Cloud</v>
      </c>
      <c r="E20" s="231"/>
      <c r="F20" s="211"/>
      <c r="H20" s="201"/>
      <c r="I20" s="201"/>
      <c r="J20" s="204"/>
      <c r="M20" s="201"/>
      <c r="N20" s="204"/>
      <c r="O20" s="201"/>
      <c r="P20" s="201"/>
      <c r="Q20" s="201"/>
      <c r="R20" s="191"/>
      <c r="S20" s="191"/>
      <c r="T20" s="191"/>
      <c r="U20" s="191"/>
      <c r="V20" s="191"/>
      <c r="W20" s="191"/>
    </row>
    <row r="21" spans="2:28" s="198" customFormat="1" ht="25.2" customHeight="1">
      <c r="E21" s="201"/>
      <c r="F21" s="204"/>
      <c r="H21" s="201"/>
      <c r="I21" s="201"/>
      <c r="J21" s="204"/>
      <c r="M21" s="201"/>
      <c r="N21" s="204"/>
      <c r="O21" s="201"/>
      <c r="P21" s="201"/>
      <c r="Q21" s="201"/>
      <c r="R21" s="191"/>
      <c r="S21" s="191"/>
      <c r="T21" s="191"/>
      <c r="U21" s="191"/>
      <c r="V21" s="191"/>
      <c r="W21" s="191"/>
    </row>
    <row r="22" spans="2:28" s="198" customFormat="1" ht="25.2" customHeight="1">
      <c r="F22" s="204"/>
      <c r="G22" s="201"/>
      <c r="H22" s="201"/>
      <c r="I22" s="201"/>
      <c r="J22" s="204"/>
      <c r="M22" s="201"/>
      <c r="N22" s="204"/>
      <c r="O22" s="201"/>
      <c r="P22" s="201"/>
      <c r="Q22" s="201"/>
      <c r="R22" s="191"/>
      <c r="S22" s="191"/>
      <c r="T22" s="191"/>
      <c r="U22" s="191"/>
      <c r="V22" s="191"/>
      <c r="W22" s="191"/>
    </row>
    <row r="23" spans="2:28" s="198" customFormat="1" ht="25.2" customHeight="1">
      <c r="B23" s="203" t="str">
        <f>nmProd3</f>
        <v>Personal Computing</v>
      </c>
      <c r="F23" s="211"/>
      <c r="H23" s="201"/>
      <c r="I23" s="201"/>
      <c r="J23" s="204"/>
      <c r="M23" s="201"/>
      <c r="N23" s="204"/>
      <c r="O23" s="201"/>
      <c r="P23" s="201"/>
      <c r="Q23" s="201"/>
      <c r="R23" s="191"/>
      <c r="S23" s="191"/>
      <c r="T23" s="191"/>
      <c r="U23" s="191"/>
      <c r="V23" s="191"/>
      <c r="W23" s="191"/>
    </row>
    <row r="24" spans="2:28" s="198" customFormat="1" ht="25.2" customHeight="1">
      <c r="E24" s="201"/>
      <c r="F24" s="204"/>
      <c r="G24" s="201"/>
      <c r="H24" s="201"/>
      <c r="I24" s="201"/>
      <c r="J24" s="204"/>
      <c r="M24" s="201"/>
      <c r="N24" s="204"/>
      <c r="O24" s="201"/>
      <c r="P24" s="201"/>
      <c r="Q24" s="201"/>
      <c r="R24" s="191"/>
      <c r="S24" s="191"/>
      <c r="T24" s="191"/>
      <c r="U24" s="191"/>
      <c r="V24" s="191"/>
      <c r="W24" s="191"/>
    </row>
    <row r="25" spans="2:28" s="198" customFormat="1" ht="25.2" customHeight="1">
      <c r="C25" s="201"/>
      <c r="F25" s="537"/>
      <c r="G25" s="201"/>
      <c r="J25" s="201"/>
      <c r="K25" s="201"/>
      <c r="L25" s="537"/>
      <c r="M25" s="201"/>
      <c r="O25" s="201"/>
      <c r="Q25" s="201"/>
      <c r="R25" s="201"/>
      <c r="X25" s="201"/>
      <c r="Y25" s="201"/>
      <c r="Z25" s="201"/>
      <c r="AA25" s="201"/>
      <c r="AB25" s="201"/>
    </row>
    <row r="26" spans="2:28" s="198" customFormat="1" ht="25.2" customHeight="1">
      <c r="B26" s="245"/>
      <c r="C26" s="245"/>
      <c r="D26" s="245"/>
      <c r="E26" s="245"/>
      <c r="F26" s="248"/>
      <c r="G26" s="245"/>
      <c r="H26" s="1097"/>
      <c r="I26" s="245"/>
      <c r="J26" s="248"/>
      <c r="K26" s="245"/>
      <c r="L26" s="245"/>
      <c r="M26" s="245"/>
      <c r="N26" s="248"/>
      <c r="O26" s="245"/>
      <c r="P26" s="245"/>
      <c r="Q26" s="245"/>
      <c r="R26" s="191"/>
      <c r="S26" s="191"/>
      <c r="T26" s="191"/>
      <c r="U26" s="191"/>
      <c r="V26" s="191"/>
      <c r="W26" s="191"/>
    </row>
    <row r="27" spans="2:28" s="198" customFormat="1" ht="33.6" customHeight="1">
      <c r="B27" s="503"/>
      <c r="H27" s="1098"/>
      <c r="K27" s="193"/>
    </row>
    <row r="28" spans="2:28" s="191" customFormat="1" ht="33.6" customHeight="1">
      <c r="B28" s="503" t="str">
        <f>nmSeg1&amp;" Forecasting (New Subscriptions/Devices)"</f>
        <v>Enterprise Forecasting (New Subscriptions/Devices)</v>
      </c>
      <c r="H28" s="1099"/>
      <c r="J28" s="503" t="str">
        <f>nmSeg1&amp;" Revenue"</f>
        <v>Enterprise Revenue</v>
      </c>
      <c r="K28" s="193"/>
      <c r="N28" s="199"/>
    </row>
    <row r="29" spans="2:28" s="198" customFormat="1" ht="25.2" customHeight="1">
      <c r="H29" s="1098"/>
    </row>
    <row r="30" spans="2:28" s="198" customFormat="1" ht="25.2" customHeight="1">
      <c r="F30" s="200" t="str">
        <f>nmSeg1</f>
        <v>Enterprise</v>
      </c>
      <c r="H30" s="1098"/>
    </row>
    <row r="31" spans="2:28" s="198" customFormat="1" ht="25.2" customHeight="1">
      <c r="F31" s="193"/>
      <c r="H31" s="1098"/>
      <c r="X31" s="201"/>
      <c r="Y31" s="201"/>
      <c r="Z31" s="201"/>
      <c r="AA31" s="201"/>
      <c r="AB31" s="201"/>
    </row>
    <row r="32" spans="2:28" s="198" customFormat="1" ht="25.2" customHeight="1">
      <c r="B32" s="198" t="str">
        <f>nmProd1</f>
        <v>Productivity &amp; Business</v>
      </c>
      <c r="F32" s="895">
        <v>9.0000000000000024E-2</v>
      </c>
      <c r="H32" s="1098"/>
      <c r="X32" s="201"/>
      <c r="Y32" s="201"/>
      <c r="Z32" s="201"/>
      <c r="AA32" s="201"/>
      <c r="AB32" s="201"/>
    </row>
    <row r="33" spans="2:28" s="198" customFormat="1" ht="25.2" customHeight="1">
      <c r="B33" s="902" t="s">
        <v>2840</v>
      </c>
      <c r="C33" s="201"/>
      <c r="F33" s="1222">
        <f>INDEX(obalOpsProd1Seg1Share,xxIndexTeam)</f>
        <v>0.09</v>
      </c>
      <c r="G33" s="201"/>
      <c r="H33" s="1098"/>
      <c r="J33" s="201"/>
      <c r="R33" s="201"/>
      <c r="X33" s="201"/>
      <c r="Y33" s="201"/>
      <c r="Z33" s="201"/>
      <c r="AA33" s="201"/>
      <c r="AB33" s="201"/>
    </row>
    <row r="34" spans="2:28" s="198" customFormat="1" ht="25.2" customHeight="1">
      <c r="C34" s="201"/>
      <c r="F34" s="204"/>
      <c r="G34" s="201"/>
      <c r="H34" s="1098"/>
      <c r="J34" s="201"/>
      <c r="R34" s="201"/>
      <c r="X34" s="201"/>
      <c r="Y34" s="201"/>
      <c r="Z34" s="201"/>
      <c r="AA34" s="201"/>
      <c r="AB34" s="201"/>
    </row>
    <row r="35" spans="2:28" s="198" customFormat="1" ht="25.2" customHeight="1">
      <c r="B35" s="198" t="str">
        <f>nmProd2</f>
        <v>Intelligent Cloud</v>
      </c>
      <c r="F35" s="895">
        <v>9.0000000000000024E-2</v>
      </c>
      <c r="H35" s="1098"/>
      <c r="X35" s="201"/>
      <c r="Y35" s="201"/>
      <c r="Z35" s="201"/>
      <c r="AA35" s="201"/>
      <c r="AB35" s="201"/>
    </row>
    <row r="36" spans="2:28" s="198" customFormat="1" ht="25.2" customHeight="1">
      <c r="B36" s="902" t="s">
        <v>2840</v>
      </c>
      <c r="C36" s="201"/>
      <c r="F36" s="1222">
        <f>INDEX(obalOpsProd2Seg1Share,xxIndexTeam)</f>
        <v>0.09</v>
      </c>
      <c r="H36" s="1098"/>
      <c r="X36" s="201"/>
      <c r="Y36" s="201"/>
      <c r="Z36" s="201"/>
      <c r="AA36" s="201"/>
      <c r="AB36" s="201"/>
    </row>
    <row r="37" spans="2:28" s="198" customFormat="1" ht="25.2" customHeight="1">
      <c r="C37" s="201"/>
      <c r="F37" s="204"/>
      <c r="G37" s="201"/>
      <c r="H37" s="1098"/>
      <c r="J37" s="201"/>
      <c r="R37" s="201"/>
      <c r="X37" s="201"/>
      <c r="Y37" s="201"/>
      <c r="Z37" s="201"/>
      <c r="AA37" s="201"/>
      <c r="AB37" s="201"/>
    </row>
    <row r="38" spans="2:28" s="198" customFormat="1" ht="25.2" customHeight="1">
      <c r="B38" s="203" t="str">
        <f>nmProd3</f>
        <v>Personal Computing</v>
      </c>
      <c r="F38" s="895">
        <v>9.0000000000000011E-2</v>
      </c>
      <c r="H38" s="1098"/>
      <c r="X38" s="201"/>
      <c r="Y38" s="201"/>
      <c r="Z38" s="201"/>
      <c r="AA38" s="201"/>
      <c r="AB38" s="201"/>
    </row>
    <row r="39" spans="2:28" s="198" customFormat="1" ht="33.6" customHeight="1">
      <c r="B39" s="902" t="s">
        <v>2840</v>
      </c>
      <c r="C39" s="201"/>
      <c r="F39" s="1222">
        <f>INDEX(obalOpsProd3Seg1Share,xxIndexTeam)</f>
        <v>0.09</v>
      </c>
      <c r="H39" s="1100"/>
    </row>
    <row r="40" spans="2:28" s="198" customFormat="1" ht="33.6" customHeight="1">
      <c r="B40" s="206"/>
      <c r="F40" s="537"/>
      <c r="H40" s="1100"/>
      <c r="L40" s="537"/>
    </row>
    <row r="41" spans="2:28" s="198" customFormat="1" ht="25.2" customHeight="1">
      <c r="C41" s="201"/>
      <c r="F41" s="537"/>
      <c r="G41" s="201"/>
      <c r="H41" s="1101"/>
      <c r="J41" s="201"/>
      <c r="K41" s="201"/>
      <c r="L41" s="537"/>
      <c r="M41" s="201"/>
      <c r="O41" s="201"/>
      <c r="Q41" s="201"/>
      <c r="R41" s="201"/>
      <c r="X41" s="201"/>
      <c r="Y41" s="201"/>
      <c r="Z41" s="201"/>
      <c r="AA41" s="201"/>
      <c r="AB41" s="201"/>
    </row>
    <row r="42" spans="2:28" s="198" customFormat="1" ht="25.2" customHeight="1">
      <c r="B42" s="245"/>
      <c r="C42" s="245"/>
      <c r="D42" s="245"/>
      <c r="E42" s="245"/>
      <c r="F42" s="248"/>
      <c r="G42" s="245"/>
      <c r="H42" s="1097"/>
      <c r="I42" s="245"/>
      <c r="J42" s="248"/>
      <c r="K42" s="245"/>
      <c r="L42" s="245"/>
      <c r="M42" s="245"/>
      <c r="N42" s="248"/>
      <c r="O42" s="245"/>
      <c r="P42" s="245"/>
      <c r="Q42" s="245"/>
      <c r="R42" s="191"/>
      <c r="S42" s="191"/>
      <c r="T42" s="191"/>
      <c r="U42" s="191"/>
      <c r="V42" s="191"/>
      <c r="W42" s="191"/>
    </row>
    <row r="43" spans="2:28" s="198" customFormat="1" ht="33.6" customHeight="1">
      <c r="B43" s="503" t="str">
        <f>nmSeg2&amp;" Forecasting (New Subscriptions/Devices)"</f>
        <v>SMC Forecasting (New Subscriptions/Devices)</v>
      </c>
      <c r="H43" s="1100"/>
      <c r="I43" s="503" t="str">
        <f>nmSeg2&amp;" Revenue"</f>
        <v>SMC Revenue</v>
      </c>
      <c r="L43" s="537"/>
    </row>
    <row r="44" spans="2:28" s="198" customFormat="1" ht="33.6" customHeight="1">
      <c r="F44" s="200" t="str">
        <f>nmSeg2</f>
        <v>SMC</v>
      </c>
      <c r="H44" s="1100"/>
      <c r="L44" s="537"/>
    </row>
    <row r="45" spans="2:28" s="198" customFormat="1" ht="33.6" customHeight="1">
      <c r="F45" s="193"/>
      <c r="H45" s="1100"/>
      <c r="L45" s="537"/>
    </row>
    <row r="46" spans="2:28" s="198" customFormat="1" ht="33.6" customHeight="1">
      <c r="B46" s="198" t="str">
        <f>nmProd1</f>
        <v>Productivity &amp; Business</v>
      </c>
      <c r="F46" s="895">
        <v>9.0000000000000011E-2</v>
      </c>
      <c r="H46" s="1100"/>
      <c r="L46" s="537"/>
    </row>
    <row r="47" spans="2:28" s="198" customFormat="1" ht="33.6" customHeight="1">
      <c r="B47" s="902" t="s">
        <v>2840</v>
      </c>
      <c r="C47" s="201"/>
      <c r="F47" s="1222">
        <f>INDEX(obalOpsProd1Seg2Share,xxIndexTeam)</f>
        <v>0.09</v>
      </c>
      <c r="G47" s="201"/>
      <c r="H47" s="1100"/>
      <c r="L47" s="537"/>
    </row>
    <row r="48" spans="2:28" s="198" customFormat="1" ht="33.6" customHeight="1">
      <c r="E48" s="201"/>
      <c r="F48" s="204"/>
      <c r="G48" s="201"/>
      <c r="H48" s="1100"/>
      <c r="L48" s="537"/>
    </row>
    <row r="49" spans="2:28" s="198" customFormat="1" ht="33.6" customHeight="1">
      <c r="B49" s="198" t="str">
        <f>nmProd2</f>
        <v>Intelligent Cloud</v>
      </c>
      <c r="F49" s="895">
        <v>9.0000000000000011E-2</v>
      </c>
      <c r="H49" s="1100"/>
      <c r="L49" s="537"/>
    </row>
    <row r="50" spans="2:28" s="198" customFormat="1" ht="33.6" customHeight="1">
      <c r="B50" s="902" t="s">
        <v>2840</v>
      </c>
      <c r="C50" s="201"/>
      <c r="F50" s="1222">
        <f>INDEX(obalOpsProd2Seg2Share,xxIndexTeam)</f>
        <v>0.09</v>
      </c>
      <c r="H50" s="1100"/>
      <c r="L50" s="537"/>
    </row>
    <row r="51" spans="2:28" s="198" customFormat="1" ht="33.6" customHeight="1">
      <c r="E51" s="201"/>
      <c r="F51" s="204"/>
      <c r="G51" s="201"/>
      <c r="H51" s="1100"/>
      <c r="L51" s="537"/>
    </row>
    <row r="52" spans="2:28" s="198" customFormat="1" ht="33.6" customHeight="1">
      <c r="B52" s="203" t="str">
        <f>nmProd3</f>
        <v>Personal Computing</v>
      </c>
      <c r="F52" s="895">
        <v>9.0000000000000011E-2</v>
      </c>
      <c r="H52" s="1100"/>
      <c r="L52" s="537"/>
    </row>
    <row r="53" spans="2:28" s="198" customFormat="1" ht="33.6" customHeight="1">
      <c r="B53" s="902" t="s">
        <v>2840</v>
      </c>
      <c r="C53" s="201"/>
      <c r="F53" s="1222">
        <f>INDEX(obalOpsProd3Seg2Share,xxIndexTeam)</f>
        <v>0.09</v>
      </c>
      <c r="H53" s="1100"/>
      <c r="L53" s="537"/>
    </row>
    <row r="54" spans="2:28" s="198" customFormat="1" ht="33.6" customHeight="1">
      <c r="B54" s="206"/>
      <c r="F54" s="537"/>
      <c r="H54" s="1100"/>
      <c r="L54" s="537"/>
    </row>
    <row r="55" spans="2:28" s="198" customFormat="1" ht="25.2" customHeight="1">
      <c r="F55" s="204"/>
      <c r="G55" s="201"/>
      <c r="H55" s="201"/>
      <c r="I55" s="201"/>
      <c r="J55" s="204"/>
      <c r="M55" s="201"/>
      <c r="N55" s="204"/>
      <c r="O55" s="201"/>
      <c r="P55" s="201"/>
      <c r="Q55" s="201"/>
      <c r="R55" s="191"/>
      <c r="S55" s="191"/>
      <c r="T55" s="191"/>
      <c r="U55" s="191"/>
      <c r="V55" s="191"/>
      <c r="W55" s="191"/>
    </row>
    <row r="56" spans="2:28" s="191" customFormat="1" ht="25.2" customHeight="1">
      <c r="B56" s="249"/>
      <c r="C56" s="249"/>
      <c r="D56" s="249"/>
      <c r="E56" s="249"/>
      <c r="F56" s="249"/>
      <c r="G56" s="251"/>
      <c r="H56" s="250"/>
      <c r="I56" s="249"/>
      <c r="J56" s="249"/>
      <c r="K56" s="249"/>
      <c r="L56" s="249"/>
      <c r="M56" s="249"/>
      <c r="N56" s="250"/>
      <c r="O56" s="249"/>
      <c r="P56" s="249"/>
      <c r="Q56" s="249"/>
      <c r="X56" s="242"/>
      <c r="Y56" s="194"/>
      <c r="Z56" s="242"/>
      <c r="AA56" s="194"/>
      <c r="AB56" s="242"/>
    </row>
    <row r="57" spans="2:28" s="191" customFormat="1" ht="33.6" customHeight="1">
      <c r="B57" s="503" t="s">
        <v>3276</v>
      </c>
      <c r="G57" s="246"/>
      <c r="H57" s="899" t="s">
        <v>3277</v>
      </c>
      <c r="I57" s="194"/>
      <c r="J57" s="871"/>
      <c r="K57" s="199"/>
      <c r="N57" s="241"/>
      <c r="X57" s="242"/>
      <c r="Z57" s="242"/>
      <c r="AB57" s="242"/>
    </row>
    <row r="58" spans="2:28" s="198" customFormat="1" ht="25.2" customHeight="1">
      <c r="G58" s="247"/>
      <c r="I58" s="201"/>
      <c r="J58" s="201"/>
      <c r="N58" s="193"/>
      <c r="V58" s="202"/>
      <c r="X58" s="242"/>
      <c r="Z58" s="242"/>
      <c r="AB58" s="242"/>
    </row>
    <row r="59" spans="2:28" s="198" customFormat="1" ht="25.2" customHeight="1">
      <c r="E59" s="213"/>
      <c r="G59" s="247"/>
      <c r="I59" s="201"/>
      <c r="J59" s="201"/>
      <c r="K59" s="213"/>
      <c r="S59" s="213"/>
      <c r="W59" s="201"/>
      <c r="X59" s="201"/>
      <c r="Y59" s="201"/>
      <c r="Z59" s="201"/>
      <c r="AA59" s="201"/>
      <c r="AB59" s="201"/>
    </row>
    <row r="60" spans="2:28" s="198" customFormat="1" ht="25.2" customHeight="1">
      <c r="B60" s="203" t="str">
        <f>nmSkill1</f>
        <v>Technical Expertise</v>
      </c>
      <c r="G60" s="247"/>
      <c r="I60" s="201"/>
      <c r="J60" s="201"/>
      <c r="K60" s="213"/>
      <c r="N60" s="203"/>
      <c r="W60" s="201"/>
      <c r="X60" s="201"/>
      <c r="Y60" s="201"/>
      <c r="Z60" s="201"/>
      <c r="AA60" s="201"/>
      <c r="AB60" s="201"/>
    </row>
    <row r="61" spans="2:28" s="198" customFormat="1" ht="25.2" customHeight="1">
      <c r="G61" s="247"/>
      <c r="I61" s="201"/>
      <c r="J61" s="201"/>
      <c r="K61" s="213"/>
      <c r="W61" s="201"/>
      <c r="X61" s="201"/>
      <c r="Y61" s="201"/>
      <c r="Z61" s="201"/>
      <c r="AA61" s="201"/>
      <c r="AB61" s="201"/>
    </row>
    <row r="62" spans="2:28" s="198" customFormat="1" ht="25.2" customHeight="1">
      <c r="B62" s="902" t="s">
        <v>3101</v>
      </c>
      <c r="D62" s="1300">
        <f>INDEX(cbalCommercialSkill1,xxIndexTeam)</f>
        <v>8</v>
      </c>
      <c r="E62" s="1300"/>
      <c r="F62" s="1300"/>
      <c r="G62" s="247"/>
      <c r="I62" s="201"/>
      <c r="J62" s="201"/>
      <c r="K62" s="213"/>
      <c r="S62" s="222"/>
      <c r="U62" s="213"/>
      <c r="W62" s="201"/>
      <c r="X62" s="201"/>
      <c r="Y62" s="201"/>
      <c r="Z62" s="201"/>
      <c r="AA62" s="201"/>
      <c r="AB62" s="201"/>
    </row>
    <row r="63" spans="2:28" s="198" customFormat="1" ht="25.2" customHeight="1">
      <c r="B63" s="902" t="s">
        <v>3105</v>
      </c>
      <c r="C63" s="201"/>
      <c r="D63" s="1300">
        <f>INDEX(calcCommercialSkill1FTEs,xxIndexTeam)</f>
        <v>0</v>
      </c>
      <c r="E63" s="1300"/>
      <c r="F63" s="1300"/>
      <c r="G63" s="247"/>
      <c r="I63" s="201"/>
      <c r="J63" s="201"/>
      <c r="K63" s="213"/>
      <c r="M63" s="201"/>
      <c r="N63" s="201"/>
      <c r="O63" s="201"/>
      <c r="P63" s="201"/>
      <c r="Q63" s="201"/>
      <c r="R63" s="201"/>
      <c r="S63" s="223"/>
      <c r="T63" s="201"/>
      <c r="U63" s="213"/>
      <c r="W63" s="201"/>
      <c r="X63" s="201"/>
      <c r="Y63" s="201"/>
      <c r="Z63" s="201"/>
      <c r="AA63" s="201"/>
      <c r="AB63" s="201"/>
    </row>
    <row r="64" spans="2:28" s="198" customFormat="1" ht="25.2" customHeight="1">
      <c r="B64" s="902" t="s">
        <v>3106</v>
      </c>
      <c r="C64" s="201"/>
      <c r="D64" s="1301">
        <f>INDEX(calcCommercialSkill1Exp,xxIndexTeam)</f>
        <v>0</v>
      </c>
      <c r="E64" s="1301"/>
      <c r="F64" s="1301"/>
      <c r="G64" s="247"/>
      <c r="I64" s="201"/>
      <c r="J64" s="872"/>
      <c r="K64" s="213"/>
      <c r="M64" s="201"/>
      <c r="N64" s="201"/>
      <c r="O64" s="201"/>
      <c r="P64" s="201"/>
      <c r="Q64" s="201"/>
      <c r="R64" s="201"/>
      <c r="S64" s="223"/>
      <c r="T64" s="201"/>
      <c r="U64" s="213"/>
      <c r="W64" s="201"/>
      <c r="X64" s="201"/>
      <c r="Y64" s="201"/>
      <c r="Z64" s="201"/>
      <c r="AA64" s="201"/>
      <c r="AB64" s="201"/>
    </row>
    <row r="65" spans="2:28" s="198" customFormat="1" ht="25.2" customHeight="1">
      <c r="G65" s="247"/>
      <c r="I65" s="201"/>
      <c r="J65" s="201"/>
      <c r="N65" s="193"/>
      <c r="V65" s="202"/>
      <c r="X65" s="242"/>
      <c r="Z65" s="242"/>
      <c r="AB65" s="242"/>
    </row>
    <row r="66" spans="2:28" s="198" customFormat="1" ht="25.2" customHeight="1">
      <c r="E66" s="213"/>
      <c r="G66" s="247"/>
      <c r="I66" s="201"/>
      <c r="J66" s="201"/>
      <c r="K66" s="213"/>
      <c r="S66" s="213"/>
      <c r="W66" s="201"/>
      <c r="X66" s="201"/>
      <c r="Y66" s="201"/>
      <c r="Z66" s="201"/>
      <c r="AA66" s="201"/>
      <c r="AB66" s="201"/>
    </row>
    <row r="67" spans="2:28" s="198" customFormat="1" ht="25.2" customHeight="1">
      <c r="B67" s="203" t="str">
        <f>nmSkill2</f>
        <v>Consultative Skills</v>
      </c>
      <c r="G67" s="247"/>
      <c r="I67" s="201"/>
      <c r="J67" s="201"/>
      <c r="K67" s="213"/>
      <c r="N67" s="203"/>
      <c r="W67" s="201"/>
      <c r="X67" s="201"/>
      <c r="Y67" s="201"/>
      <c r="Z67" s="201"/>
      <c r="AA67" s="201"/>
      <c r="AB67" s="201"/>
    </row>
    <row r="68" spans="2:28" s="198" customFormat="1" ht="25.2" customHeight="1">
      <c r="G68" s="247"/>
      <c r="I68" s="201"/>
      <c r="J68" s="201"/>
      <c r="K68" s="213"/>
      <c r="W68" s="201"/>
      <c r="X68" s="201"/>
      <c r="Y68" s="201"/>
      <c r="Z68" s="201"/>
      <c r="AA68" s="201"/>
      <c r="AB68" s="201"/>
    </row>
    <row r="69" spans="2:28" s="198" customFormat="1" ht="25.2" customHeight="1">
      <c r="B69" s="902" t="s">
        <v>3101</v>
      </c>
      <c r="D69" s="1300">
        <f>INDEX(cbalCommercialSkill2,xxIndexTeam)</f>
        <v>5</v>
      </c>
      <c r="E69" s="1300"/>
      <c r="F69" s="1300"/>
      <c r="G69" s="247"/>
      <c r="I69" s="201"/>
      <c r="J69" s="201"/>
      <c r="K69" s="213"/>
      <c r="S69" s="222"/>
      <c r="U69" s="213"/>
      <c r="W69" s="201"/>
      <c r="X69" s="201"/>
      <c r="Y69" s="201"/>
      <c r="Z69" s="201"/>
      <c r="AA69" s="201"/>
      <c r="AB69" s="201"/>
    </row>
    <row r="70" spans="2:28" s="198" customFormat="1" ht="25.2" customHeight="1">
      <c r="B70" s="902" t="s">
        <v>3105</v>
      </c>
      <c r="C70" s="201"/>
      <c r="D70" s="1300">
        <f>INDEX(calcCommercialSkill2FTEs,xxIndexTeam)</f>
        <v>0</v>
      </c>
      <c r="E70" s="1300"/>
      <c r="F70" s="1300"/>
      <c r="G70" s="247"/>
      <c r="I70" s="201"/>
      <c r="J70" s="201"/>
      <c r="K70" s="213"/>
      <c r="M70" s="201"/>
      <c r="N70" s="201"/>
      <c r="O70" s="201"/>
      <c r="P70" s="201"/>
      <c r="Q70" s="201"/>
      <c r="R70" s="201"/>
      <c r="S70" s="223"/>
      <c r="T70" s="201"/>
      <c r="U70" s="213"/>
      <c r="W70" s="201"/>
      <c r="X70" s="201"/>
      <c r="Y70" s="201"/>
      <c r="Z70" s="201"/>
      <c r="AA70" s="201"/>
      <c r="AB70" s="201"/>
    </row>
    <row r="71" spans="2:28" s="198" customFormat="1" ht="25.2" customHeight="1">
      <c r="B71" s="902" t="s">
        <v>3106</v>
      </c>
      <c r="C71" s="201"/>
      <c r="D71" s="1301">
        <f>INDEX(calcCommercialSkill2Exp,xxIndexTeam)</f>
        <v>0</v>
      </c>
      <c r="E71" s="1301"/>
      <c r="F71" s="1301"/>
      <c r="G71" s="247"/>
      <c r="I71" s="201"/>
      <c r="J71" s="201"/>
      <c r="K71" s="213"/>
      <c r="M71" s="201"/>
      <c r="N71" s="201"/>
      <c r="O71" s="201"/>
      <c r="P71" s="201"/>
      <c r="Q71" s="201"/>
      <c r="R71" s="201"/>
      <c r="S71" s="223"/>
      <c r="T71" s="201"/>
      <c r="U71" s="213"/>
      <c r="W71" s="201"/>
      <c r="X71" s="201"/>
      <c r="Y71" s="201"/>
      <c r="Z71" s="201"/>
      <c r="AA71" s="201"/>
      <c r="AB71" s="201"/>
    </row>
    <row r="72" spans="2:28" s="198" customFormat="1" ht="25.2" customHeight="1">
      <c r="E72" s="213"/>
      <c r="G72" s="247"/>
      <c r="I72" s="201"/>
      <c r="J72" s="201"/>
      <c r="K72" s="213"/>
      <c r="S72" s="213"/>
      <c r="W72" s="201"/>
      <c r="X72" s="201"/>
      <c r="Y72" s="201"/>
      <c r="Z72" s="201"/>
      <c r="AA72" s="201"/>
      <c r="AB72" s="201"/>
    </row>
    <row r="73" spans="2:28" s="198" customFormat="1" ht="25.2" customHeight="1">
      <c r="B73" s="203" t="str">
        <f>nmSkill3</f>
        <v>Industry Expertise</v>
      </c>
      <c r="G73" s="247"/>
      <c r="I73" s="201"/>
      <c r="J73" s="201"/>
      <c r="K73" s="213"/>
      <c r="N73" s="203"/>
      <c r="W73" s="201"/>
      <c r="X73" s="201"/>
      <c r="Y73" s="201"/>
      <c r="Z73" s="201"/>
      <c r="AA73" s="201"/>
      <c r="AB73" s="201"/>
    </row>
    <row r="74" spans="2:28" s="198" customFormat="1" ht="25.2" customHeight="1">
      <c r="G74" s="247"/>
      <c r="I74" s="201"/>
      <c r="J74" s="201"/>
      <c r="K74" s="213"/>
      <c r="W74" s="201"/>
      <c r="X74" s="201"/>
      <c r="Y74" s="201"/>
      <c r="Z74" s="201"/>
      <c r="AA74" s="201"/>
      <c r="AB74" s="201"/>
    </row>
    <row r="75" spans="2:28" s="198" customFormat="1" ht="25.2" customHeight="1">
      <c r="B75" s="902" t="s">
        <v>3101</v>
      </c>
      <c r="D75" s="1300">
        <f>INDEX(cbalCommercialSkill3,xxIndexTeam)</f>
        <v>2</v>
      </c>
      <c r="E75" s="1300"/>
      <c r="F75" s="1300"/>
      <c r="G75" s="247"/>
      <c r="I75" s="201"/>
      <c r="J75" s="201"/>
      <c r="K75" s="213"/>
      <c r="S75" s="222"/>
      <c r="U75" s="213"/>
      <c r="W75" s="201"/>
      <c r="X75" s="201"/>
      <c r="Y75" s="201"/>
      <c r="Z75" s="201"/>
      <c r="AA75" s="201"/>
      <c r="AB75" s="201"/>
    </row>
    <row r="76" spans="2:28" s="198" customFormat="1" ht="25.2" customHeight="1">
      <c r="B76" s="902" t="s">
        <v>3105</v>
      </c>
      <c r="C76" s="201"/>
      <c r="D76" s="1300">
        <f>INDEX(calcCommercialSkill3FTEs,xxIndexTeam)</f>
        <v>0</v>
      </c>
      <c r="E76" s="1300"/>
      <c r="F76" s="1300"/>
      <c r="G76" s="247"/>
      <c r="I76" s="201"/>
      <c r="J76" s="201"/>
      <c r="K76" s="213"/>
      <c r="M76" s="201"/>
      <c r="N76" s="201"/>
      <c r="O76" s="201"/>
      <c r="P76" s="201"/>
      <c r="Q76" s="201"/>
      <c r="R76" s="201"/>
      <c r="S76" s="223"/>
      <c r="T76" s="201"/>
      <c r="U76" s="213"/>
      <c r="W76" s="201"/>
      <c r="X76" s="201"/>
      <c r="Y76" s="201"/>
      <c r="Z76" s="201"/>
      <c r="AA76" s="201"/>
      <c r="AB76" s="201"/>
    </row>
    <row r="77" spans="2:28" s="198" customFormat="1" ht="25.2" customHeight="1">
      <c r="B77" s="902" t="s">
        <v>3106</v>
      </c>
      <c r="C77" s="201"/>
      <c r="D77" s="1301">
        <f>INDEX(calcCommercialSkill3Exp,xxIndexTeam)</f>
        <v>0</v>
      </c>
      <c r="E77" s="1301"/>
      <c r="F77" s="1301"/>
      <c r="G77" s="247"/>
      <c r="I77" s="201"/>
      <c r="J77" s="201"/>
      <c r="K77" s="213"/>
      <c r="M77" s="201"/>
      <c r="N77" s="201"/>
      <c r="O77" s="201"/>
      <c r="P77" s="201"/>
      <c r="Q77" s="201"/>
      <c r="R77" s="201"/>
      <c r="S77" s="223"/>
      <c r="T77" s="201"/>
      <c r="U77" s="213"/>
      <c r="W77" s="201"/>
      <c r="X77" s="201"/>
      <c r="Y77" s="201"/>
      <c r="Z77" s="201"/>
      <c r="AA77" s="201"/>
      <c r="AB77" s="201"/>
    </row>
    <row r="78" spans="2:28" s="198" customFormat="1" ht="25.2" customHeight="1">
      <c r="E78" s="213"/>
      <c r="G78" s="247"/>
      <c r="I78" s="201"/>
      <c r="J78" s="201"/>
      <c r="S78" s="213"/>
      <c r="W78" s="201"/>
      <c r="X78" s="201"/>
      <c r="Y78" s="201"/>
      <c r="Z78" s="201"/>
      <c r="AA78" s="201"/>
      <c r="AB78" s="201"/>
    </row>
    <row r="79" spans="2:28" s="198" customFormat="1" ht="25.2" customHeight="1">
      <c r="B79" s="245"/>
      <c r="C79" s="245"/>
      <c r="D79" s="245"/>
      <c r="E79" s="245"/>
      <c r="F79" s="248"/>
      <c r="G79" s="245"/>
      <c r="H79" s="245"/>
      <c r="I79" s="245"/>
      <c r="J79" s="245"/>
      <c r="K79" s="245"/>
      <c r="L79" s="245"/>
      <c r="M79" s="245"/>
      <c r="N79" s="248"/>
      <c r="O79" s="245"/>
      <c r="P79" s="245"/>
      <c r="Q79" s="245"/>
      <c r="R79" s="201"/>
      <c r="S79" s="201"/>
      <c r="T79" s="201"/>
      <c r="U79" s="201"/>
      <c r="V79" s="201"/>
    </row>
    <row r="80" spans="2:28" s="264" customFormat="1" ht="33.6" customHeight="1">
      <c r="B80" s="503" t="s">
        <v>3278</v>
      </c>
      <c r="H80" s="265"/>
      <c r="J80" s="267"/>
    </row>
    <row r="81" spans="2:28" s="198" customFormat="1" ht="33.6" customHeight="1">
      <c r="B81" s="207"/>
      <c r="H81" s="193"/>
      <c r="J81" s="206"/>
    </row>
    <row r="82" spans="2:28" s="198" customFormat="1" ht="24.6" customHeight="1">
      <c r="D82" s="200" t="s">
        <v>1643</v>
      </c>
      <c r="F82" s="201"/>
      <c r="H82" s="200" t="s">
        <v>1673</v>
      </c>
      <c r="J82" s="201"/>
      <c r="L82" s="200" t="s">
        <v>459</v>
      </c>
      <c r="R82" s="201"/>
      <c r="S82" s="201"/>
      <c r="T82" s="201"/>
      <c r="U82" s="201"/>
      <c r="V82" s="201"/>
    </row>
    <row r="83" spans="2:28" s="198" customFormat="1" ht="33.6" customHeight="1">
      <c r="B83" s="207"/>
      <c r="H83" s="193"/>
      <c r="J83" s="206"/>
    </row>
    <row r="84" spans="2:28" s="198" customFormat="1" ht="33.6" customHeight="1">
      <c r="B84" s="207"/>
      <c r="H84" s="193"/>
      <c r="J84" s="206"/>
    </row>
    <row r="85" spans="2:28" s="198" customFormat="1" ht="33.6" customHeight="1">
      <c r="B85" s="207"/>
      <c r="H85" s="193"/>
      <c r="J85" s="206"/>
    </row>
    <row r="86" spans="2:28" s="198" customFormat="1" ht="33.6" customHeight="1">
      <c r="B86" s="207"/>
      <c r="H86" s="193"/>
      <c r="J86" s="206"/>
    </row>
    <row r="87" spans="2:28" s="198" customFormat="1" ht="33.6" customHeight="1">
      <c r="B87" s="207"/>
      <c r="H87" s="193"/>
      <c r="J87" s="206"/>
    </row>
    <row r="88" spans="2:28" s="198" customFormat="1" ht="33.6" customHeight="1">
      <c r="B88" s="207"/>
      <c r="H88" s="193"/>
      <c r="J88" s="206"/>
    </row>
    <row r="89" spans="2:28" s="198" customFormat="1" ht="33.6" customHeight="1">
      <c r="B89" s="207"/>
      <c r="H89" s="193"/>
      <c r="J89" s="206"/>
    </row>
    <row r="90" spans="2:28" s="198" customFormat="1" ht="33.6" customHeight="1">
      <c r="B90" s="207"/>
      <c r="H90" s="193"/>
      <c r="J90" s="206"/>
    </row>
    <row r="91" spans="2:28" s="198" customFormat="1" ht="25.2" customHeight="1">
      <c r="F91" s="201"/>
      <c r="G91" s="201"/>
      <c r="H91" s="201"/>
      <c r="I91" s="201"/>
      <c r="J91" s="201"/>
      <c r="M91" s="201"/>
      <c r="N91" s="201"/>
      <c r="O91" s="201"/>
      <c r="P91" s="201"/>
      <c r="Q91" s="201"/>
      <c r="R91" s="201"/>
      <c r="S91" s="201"/>
      <c r="T91" s="201"/>
      <c r="U91" s="201"/>
      <c r="V91" s="201"/>
    </row>
    <row r="92" spans="2:28" s="198" customFormat="1" ht="25.2" customHeight="1">
      <c r="F92" s="201"/>
      <c r="G92" s="201"/>
      <c r="H92" s="201"/>
      <c r="I92" s="201"/>
      <c r="J92" s="201"/>
      <c r="M92" s="201"/>
      <c r="N92" s="201"/>
      <c r="O92" s="201"/>
      <c r="P92" s="201"/>
      <c r="Q92" s="201"/>
      <c r="R92" s="201"/>
      <c r="S92" s="201"/>
      <c r="T92" s="201"/>
      <c r="U92" s="201"/>
      <c r="V92" s="201"/>
    </row>
    <row r="93" spans="2:28" s="198" customFormat="1" ht="25.2" customHeight="1">
      <c r="D93" s="896">
        <v>250</v>
      </c>
      <c r="F93" s="193"/>
      <c r="H93" s="896">
        <v>125</v>
      </c>
      <c r="L93" s="896">
        <v>90</v>
      </c>
    </row>
    <row r="94" spans="2:28" s="198" customFormat="1" ht="25.2" customHeight="1">
      <c r="B94" s="902" t="s">
        <v>2840</v>
      </c>
      <c r="D94" s="1223">
        <f>INDEX(obalCommercialDirectSalesFTEs,xxIndexTeam)</f>
        <v>250</v>
      </c>
      <c r="E94" s="201"/>
      <c r="F94" s="212"/>
      <c r="H94" s="1223">
        <f>INDEX(obalCommercialInsideSalesFTEs,xxIndexTeam)</f>
        <v>125</v>
      </c>
      <c r="I94" s="201"/>
      <c r="L94" s="1223">
        <f>INDEX(obalCommercialServicesFTEs,xxIndexTeam)</f>
        <v>90</v>
      </c>
      <c r="M94" s="201"/>
      <c r="O94" s="201"/>
      <c r="Q94" s="201"/>
    </row>
    <row r="95" spans="2:28" s="198" customFormat="1" ht="25.2" customHeight="1">
      <c r="D95" s="213"/>
      <c r="H95" s="213"/>
      <c r="J95" s="204"/>
      <c r="K95" s="201"/>
      <c r="L95" s="213"/>
    </row>
    <row r="96" spans="2:28" s="198" customFormat="1" ht="25.2" customHeight="1">
      <c r="C96" s="201"/>
      <c r="F96" s="537"/>
      <c r="G96" s="201"/>
      <c r="J96" s="201"/>
      <c r="K96" s="201"/>
      <c r="L96" s="537"/>
      <c r="M96" s="201"/>
      <c r="O96" s="201"/>
      <c r="Q96" s="201"/>
      <c r="R96" s="201"/>
      <c r="X96" s="201"/>
      <c r="Y96" s="201"/>
      <c r="Z96" s="201"/>
      <c r="AA96" s="201"/>
      <c r="AB96" s="201"/>
    </row>
    <row r="97" spans="1:22" s="198" customFormat="1" ht="25.2" customHeight="1">
      <c r="B97" s="245"/>
      <c r="C97" s="245"/>
      <c r="D97" s="245"/>
      <c r="E97" s="245"/>
      <c r="F97" s="248"/>
      <c r="G97" s="245"/>
      <c r="H97" s="245"/>
      <c r="I97" s="245"/>
      <c r="J97" s="248"/>
      <c r="K97" s="245"/>
      <c r="L97" s="245"/>
      <c r="M97" s="245"/>
      <c r="N97" s="248"/>
      <c r="O97" s="245"/>
      <c r="P97" s="245"/>
      <c r="Q97" s="245"/>
      <c r="R97" s="201"/>
      <c r="S97" s="201"/>
      <c r="T97" s="201"/>
      <c r="U97" s="201"/>
      <c r="V97" s="201"/>
    </row>
    <row r="98" spans="1:22" s="198" customFormat="1" ht="33.6" customHeight="1">
      <c r="B98" s="503" t="s">
        <v>1098</v>
      </c>
      <c r="H98" s="193"/>
      <c r="J98" s="206"/>
    </row>
    <row r="99" spans="1:22" s="198" customFormat="1" ht="33.6" customHeight="1">
      <c r="B99" s="207"/>
      <c r="H99" s="193"/>
      <c r="J99" s="206"/>
    </row>
    <row r="100" spans="1:22" s="198" customFormat="1" ht="24.6" customHeight="1">
      <c r="D100" s="200" t="s">
        <v>495</v>
      </c>
      <c r="F100" s="201"/>
      <c r="H100" s="200" t="s">
        <v>426</v>
      </c>
      <c r="J100" s="201"/>
      <c r="L100" s="200" t="s">
        <v>425</v>
      </c>
      <c r="R100" s="201"/>
      <c r="S100" s="201"/>
      <c r="T100" s="201"/>
      <c r="U100" s="201"/>
      <c r="V100" s="201"/>
    </row>
    <row r="101" spans="1:22" s="198" customFormat="1" ht="24.6" customHeight="1">
      <c r="D101" s="200"/>
      <c r="F101" s="201"/>
      <c r="H101" s="200"/>
      <c r="J101" s="201"/>
      <c r="L101" s="200"/>
      <c r="R101" s="201"/>
      <c r="S101" s="201"/>
      <c r="T101" s="201"/>
      <c r="U101" s="201"/>
      <c r="V101" s="201"/>
    </row>
    <row r="102" spans="1:22" s="198" customFormat="1" ht="25.2" customHeight="1">
      <c r="B102" s="203" t="s">
        <v>446</v>
      </c>
      <c r="F102" s="201"/>
      <c r="J102" s="201"/>
      <c r="N102" s="201"/>
      <c r="P102" s="201"/>
      <c r="R102" s="201"/>
      <c r="S102" s="201"/>
      <c r="T102" s="201"/>
      <c r="U102" s="201"/>
      <c r="V102" s="201"/>
    </row>
    <row r="103" spans="1:22" s="198" customFormat="1" ht="24.6" customHeight="1">
      <c r="D103" s="200"/>
      <c r="F103" s="201"/>
      <c r="H103" s="200"/>
      <c r="J103" s="201"/>
      <c r="L103" s="200"/>
      <c r="R103" s="201"/>
      <c r="S103" s="201"/>
      <c r="T103" s="201"/>
      <c r="U103" s="201"/>
      <c r="V103" s="201"/>
    </row>
    <row r="104" spans="1:22" s="198" customFormat="1" ht="25.2" customHeight="1">
      <c r="B104" s="902" t="s">
        <v>3101</v>
      </c>
      <c r="D104" s="213">
        <f>INDEX(cbalCommercialPartnerDevelopment,xxIndexTeam)</f>
        <v>5</v>
      </c>
      <c r="F104" s="201"/>
      <c r="H104" s="213">
        <f>INDEX(cbalCommercialPartnerIncentives,xxIndexTeam)</f>
        <v>4</v>
      </c>
      <c r="J104" s="201"/>
      <c r="L104" s="213">
        <f>INDEX(cbalCommercialPartnerEducation,xxIndexTeam)</f>
        <v>3</v>
      </c>
      <c r="N104" s="201"/>
      <c r="P104" s="201"/>
      <c r="R104" s="201"/>
      <c r="S104" s="201"/>
      <c r="T104" s="201"/>
      <c r="U104" s="201"/>
      <c r="V104" s="201"/>
    </row>
    <row r="105" spans="1:22" s="198" customFormat="1" ht="25.2" customHeight="1">
      <c r="B105" s="902" t="s">
        <v>3105</v>
      </c>
      <c r="D105" s="213">
        <f>INDEX(calcCommercialPartnerDevelopmentFTEs,xxIndexTeam)</f>
        <v>0</v>
      </c>
      <c r="F105" s="201"/>
      <c r="H105" s="213">
        <f>INDEX(calcCommercialPartnerIncentivesFTEs,xxIndexTeam)</f>
        <v>0</v>
      </c>
      <c r="J105" s="201"/>
      <c r="L105" s="213">
        <f>INDEX(calcCommercialPartnerEducationFTEs,xxIndexTeam)</f>
        <v>0</v>
      </c>
      <c r="N105" s="201"/>
      <c r="P105" s="201"/>
      <c r="R105" s="201"/>
      <c r="S105" s="201"/>
      <c r="T105" s="201"/>
      <c r="U105" s="201"/>
      <c r="V105" s="201"/>
    </row>
    <row r="106" spans="1:22" s="198" customFormat="1" ht="25.2" customHeight="1">
      <c r="B106" s="902" t="s">
        <v>3106</v>
      </c>
      <c r="D106" s="1219">
        <f>INDEX(calcCommercialPartnerDevelopmentExp,xxIndexTeam)</f>
        <v>0</v>
      </c>
      <c r="F106" s="201"/>
      <c r="H106" s="1219">
        <f>INDEX(calcCommercialPartnerIncentivesExp,xxIndexTeam)</f>
        <v>0</v>
      </c>
      <c r="J106" s="201"/>
      <c r="L106" s="1219">
        <f>INDEX(calcCommercialPartnerEducationExp,xxIndexTeam)</f>
        <v>0</v>
      </c>
      <c r="N106" s="201"/>
      <c r="P106" s="201"/>
      <c r="R106" s="201"/>
      <c r="S106" s="201"/>
      <c r="T106" s="201"/>
      <c r="U106" s="201"/>
      <c r="V106" s="201"/>
    </row>
    <row r="107" spans="1:22" s="198" customFormat="1" ht="25.2" customHeight="1">
      <c r="F107" s="201"/>
      <c r="G107" s="201"/>
      <c r="H107" s="201"/>
      <c r="I107" s="201"/>
      <c r="J107" s="201"/>
      <c r="M107" s="201"/>
      <c r="N107" s="201"/>
      <c r="O107" s="201"/>
      <c r="P107" s="201"/>
      <c r="Q107" s="201"/>
      <c r="R107" s="201"/>
      <c r="S107" s="201"/>
      <c r="T107" s="201"/>
      <c r="U107" s="201"/>
      <c r="V107" s="201"/>
    </row>
    <row r="108" spans="1:22" s="268" customFormat="1" ht="33.6" customHeight="1">
      <c r="B108" s="198"/>
      <c r="C108" s="198"/>
      <c r="D108" s="198"/>
      <c r="E108" s="198"/>
      <c r="F108" s="204"/>
      <c r="G108" s="201"/>
      <c r="H108" s="201"/>
      <c r="I108" s="201"/>
      <c r="J108" s="204"/>
      <c r="K108" s="198"/>
      <c r="L108" s="198"/>
      <c r="M108" s="201"/>
      <c r="N108" s="204"/>
      <c r="O108" s="201"/>
      <c r="P108" s="201"/>
      <c r="Q108" s="201"/>
    </row>
    <row r="109" spans="1:22" s="198" customFormat="1" ht="25.2" customHeight="1">
      <c r="B109" s="245"/>
      <c r="C109" s="245"/>
      <c r="D109" s="245"/>
      <c r="E109" s="245"/>
      <c r="F109" s="248"/>
      <c r="G109" s="245"/>
      <c r="H109" s="245"/>
      <c r="I109" s="245"/>
      <c r="J109" s="248"/>
      <c r="K109" s="245"/>
      <c r="L109" s="245"/>
      <c r="M109" s="245"/>
      <c r="N109" s="248"/>
      <c r="O109" s="245"/>
      <c r="P109" s="245"/>
      <c r="Q109" s="245"/>
      <c r="R109" s="201"/>
      <c r="S109" s="201"/>
      <c r="T109" s="201"/>
      <c r="U109" s="201"/>
      <c r="V109" s="201"/>
    </row>
    <row r="110" spans="1:22" s="264" customFormat="1" ht="33.6" customHeight="1">
      <c r="A110" s="198"/>
      <c r="B110" s="503" t="s">
        <v>1099</v>
      </c>
      <c r="H110" s="265"/>
      <c r="J110" s="266"/>
    </row>
    <row r="111" spans="1:22" s="198" customFormat="1" ht="25.2" customHeight="1">
      <c r="D111" s="200" t="str">
        <f>nmPartner1</f>
        <v>ISV</v>
      </c>
      <c r="E111" s="240"/>
      <c r="F111" s="200"/>
      <c r="G111" s="240"/>
      <c r="H111" s="200" t="str">
        <f>nmPartner2</f>
        <v>Systems Integrators</v>
      </c>
      <c r="I111" s="200"/>
      <c r="J111" s="200"/>
      <c r="K111" s="240"/>
      <c r="L111" s="200" t="str">
        <f>nmPartner3</f>
        <v>Managed Services</v>
      </c>
      <c r="M111" s="201"/>
      <c r="O111" s="200"/>
      <c r="P111" s="200" t="str">
        <f>nmPartner4</f>
        <v>Channels</v>
      </c>
      <c r="Q111" s="208"/>
      <c r="R111" s="201"/>
      <c r="S111" s="201"/>
      <c r="T111" s="201"/>
      <c r="U111" s="201"/>
      <c r="V111" s="201"/>
    </row>
    <row r="112" spans="1:22" s="198" customFormat="1" ht="25.2" customHeight="1">
      <c r="D112" s="200"/>
      <c r="L112" s="200"/>
    </row>
    <row r="113" spans="2:22" s="198" customFormat="1" ht="25.2" customHeight="1">
      <c r="D113" s="193"/>
    </row>
    <row r="114" spans="2:22" s="198" customFormat="1" ht="25.2" customHeight="1">
      <c r="B114" s="203" t="s">
        <v>412</v>
      </c>
      <c r="D114" s="895">
        <v>0.25</v>
      </c>
      <c r="H114" s="895">
        <v>0.2</v>
      </c>
      <c r="L114" s="895">
        <v>0.22</v>
      </c>
      <c r="P114" s="254">
        <f>1-tlInputCommercialPartner1Pct-tlInputCommercialPartner2Pct-tlInputCommercialPartner3Pct</f>
        <v>0.33000000000000007</v>
      </c>
    </row>
    <row r="115" spans="2:22" s="198" customFormat="1" ht="25.2" customHeight="1">
      <c r="B115" s="902" t="s">
        <v>2839</v>
      </c>
      <c r="D115" s="213">
        <f>INDEX(cbalCommercialPartner1FTEs,xxIndexTeam)</f>
        <v>0</v>
      </c>
      <c r="H115" s="213">
        <f>INDEX(cbalCommercialPartner2FTEs,xxIndexTeam)</f>
        <v>0</v>
      </c>
      <c r="L115" s="213">
        <f>INDEX(cbalCommercialPartner3FTEs,xxIndexTeam)</f>
        <v>0</v>
      </c>
      <c r="P115" s="213">
        <f>INDEX(cbalCommercialPartner4FTEs,xxIndexTeam)</f>
        <v>0</v>
      </c>
    </row>
    <row r="116" spans="2:22" s="198" customFormat="1" ht="25.2" customHeight="1">
      <c r="B116" s="902" t="s">
        <v>3106</v>
      </c>
      <c r="D116" s="1219">
        <f>INDEX(cbalCommercialPartner1Budget,xxIndexTeam)</f>
        <v>625000</v>
      </c>
      <c r="H116" s="1219">
        <f>INDEX(cbalCommercialPartner2Budget,xxIndexTeam)</f>
        <v>500000</v>
      </c>
      <c r="L116" s="1219">
        <f>INDEX(cbalCommercialPartner3Budget,xxIndexTeam)</f>
        <v>550000</v>
      </c>
      <c r="P116" s="1219">
        <f>INDEX(cbalCommercialPartner4Budget,xxIndexTeam)</f>
        <v>825000.00000000023</v>
      </c>
    </row>
    <row r="117" spans="2:22" s="198" customFormat="1" ht="25.2" customHeight="1">
      <c r="H117" s="202"/>
      <c r="L117" s="202"/>
    </row>
    <row r="118" spans="2:22" s="268" customFormat="1" ht="33.6" customHeight="1">
      <c r="B118" s="198"/>
      <c r="C118" s="198"/>
      <c r="D118" s="198"/>
      <c r="E118" s="198"/>
      <c r="F118" s="204"/>
      <c r="G118" s="201"/>
      <c r="H118" s="204"/>
      <c r="I118" s="201"/>
      <c r="J118" s="204"/>
      <c r="K118" s="198"/>
      <c r="L118" s="198"/>
      <c r="M118" s="201"/>
      <c r="N118" s="204"/>
      <c r="O118" s="201"/>
      <c r="P118" s="201"/>
      <c r="Q118" s="201"/>
    </row>
    <row r="119" spans="2:22" s="198" customFormat="1" ht="25.2" customHeight="1">
      <c r="B119" s="245"/>
      <c r="C119" s="245"/>
      <c r="D119" s="245"/>
      <c r="E119" s="245"/>
      <c r="F119" s="1097"/>
      <c r="G119" s="245"/>
      <c r="H119" s="248"/>
      <c r="I119" s="245"/>
      <c r="J119" s="248"/>
      <c r="K119" s="245"/>
      <c r="L119" s="245"/>
      <c r="M119" s="245"/>
      <c r="N119" s="248"/>
      <c r="O119" s="245"/>
      <c r="P119" s="245"/>
      <c r="Q119" s="245"/>
      <c r="R119" s="201"/>
      <c r="S119" s="201"/>
      <c r="T119" s="201"/>
      <c r="U119" s="201"/>
      <c r="V119" s="201"/>
    </row>
    <row r="120" spans="2:22" s="264" customFormat="1" ht="33.6" customHeight="1">
      <c r="B120" s="503" t="s">
        <v>492</v>
      </c>
      <c r="F120" s="1102"/>
      <c r="H120" s="503" t="s">
        <v>2858</v>
      </c>
      <c r="I120" s="503"/>
      <c r="J120" s="503"/>
    </row>
    <row r="121" spans="2:22">
      <c r="F121" s="1103"/>
      <c r="H121" s="948"/>
    </row>
    <row r="122" spans="2:22">
      <c r="F122" s="1103"/>
      <c r="H122" s="948"/>
    </row>
    <row r="123" spans="2:22">
      <c r="F123" s="1103"/>
      <c r="H123" s="948"/>
    </row>
    <row r="124" spans="2:22">
      <c r="F124" s="1103"/>
      <c r="H124" s="948"/>
    </row>
    <row r="125" spans="2:22">
      <c r="F125" s="1103"/>
      <c r="H125" s="948"/>
    </row>
    <row r="126" spans="2:22">
      <c r="F126" s="1103"/>
      <c r="H126" s="948"/>
    </row>
    <row r="127" spans="2:22">
      <c r="F127" s="1103"/>
      <c r="H127" s="948"/>
    </row>
    <row r="128" spans="2:22">
      <c r="F128" s="1103"/>
      <c r="H128" s="948"/>
    </row>
    <row r="129" spans="2:8">
      <c r="F129" s="1103"/>
      <c r="H129" s="948"/>
    </row>
    <row r="130" spans="2:8">
      <c r="F130" s="1103"/>
      <c r="H130" s="948"/>
    </row>
    <row r="131" spans="2:8">
      <c r="F131" s="1103"/>
      <c r="H131" s="948"/>
    </row>
    <row r="132" spans="2:8" ht="24.6">
      <c r="C132" s="198"/>
      <c r="D132" s="200" t="s">
        <v>2659</v>
      </c>
      <c r="E132" s="198"/>
      <c r="F132" s="1103"/>
      <c r="H132" s="948"/>
    </row>
    <row r="133" spans="2:8">
      <c r="F133" s="1103"/>
      <c r="H133" s="948"/>
    </row>
    <row r="134" spans="2:8" ht="24.6">
      <c r="C134" s="198"/>
      <c r="D134" s="895">
        <v>0</v>
      </c>
      <c r="E134" s="198"/>
      <c r="F134" s="1103"/>
      <c r="H134" s="948"/>
    </row>
    <row r="135" spans="2:8" ht="24.6">
      <c r="B135" s="902" t="s">
        <v>1646</v>
      </c>
      <c r="D135" s="213">
        <f>INDEX(cbalInternalReadiness,xxIndexTeam)</f>
        <v>100.785</v>
      </c>
      <c r="F135" s="1103"/>
      <c r="H135" s="948"/>
    </row>
    <row r="136" spans="2:8">
      <c r="F136" s="1103"/>
      <c r="H136" s="948"/>
    </row>
  </sheetData>
  <sheetProtection selectLockedCells="1"/>
  <mergeCells count="13">
    <mergeCell ref="D75:F75"/>
    <mergeCell ref="D76:F76"/>
    <mergeCell ref="D77:F77"/>
    <mergeCell ref="D64:F64"/>
    <mergeCell ref="D69:F69"/>
    <mergeCell ref="A1:D12"/>
    <mergeCell ref="D70:F70"/>
    <mergeCell ref="D71:F71"/>
    <mergeCell ref="F2:F4"/>
    <mergeCell ref="F5:F7"/>
    <mergeCell ref="F8:F10"/>
    <mergeCell ref="D62:F62"/>
    <mergeCell ref="D63:F63"/>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4"/>
    <pageSetUpPr autoPageBreaks="0"/>
  </sheetPr>
  <dimension ref="A1:Z116"/>
  <sheetViews>
    <sheetView zoomScale="50" zoomScaleNormal="50" workbookViewId="0">
      <pane ySplit="12" topLeftCell="A62" activePane="bottomLeft" state="frozen"/>
      <selection pane="bottomLeft" activeCell="O70" sqref="O70"/>
    </sheetView>
  </sheetViews>
  <sheetFormatPr defaultColWidth="8.81640625" defaultRowHeight="19.2"/>
  <cols>
    <col min="1" max="1" width="3.453125" style="195" customWidth="1"/>
    <col min="2" max="2" width="31.453125" style="195" customWidth="1"/>
    <col min="3" max="3" width="3.453125" style="195" customWidth="1"/>
    <col min="4" max="4" width="24.7265625" style="195" customWidth="1"/>
    <col min="5" max="5" width="3.453125" style="195" customWidth="1"/>
    <col min="6" max="6" width="26.453125" style="195" customWidth="1"/>
    <col min="7" max="7" width="3.453125" style="195" customWidth="1"/>
    <col min="8" max="8" width="26.453125" style="195" customWidth="1"/>
    <col min="9" max="9" width="3.453125" style="195" customWidth="1"/>
    <col min="10" max="10" width="26.453125" style="195" customWidth="1"/>
    <col min="11" max="11" width="3.453125" style="195" customWidth="1"/>
    <col min="12" max="12" width="26.453125" style="195" customWidth="1"/>
    <col min="13" max="13" width="3.453125" style="195" customWidth="1"/>
    <col min="14" max="14" width="26.453125" style="195" customWidth="1"/>
    <col min="15" max="15" width="27.453125" style="195" customWidth="1"/>
    <col min="16" max="16" width="26.453125" style="195" customWidth="1"/>
    <col min="17" max="17" width="3.453125" style="195" customWidth="1"/>
    <col min="18" max="18" width="24.7265625" style="195" customWidth="1"/>
    <col min="19" max="19" width="3.453125" style="195" customWidth="1"/>
    <col min="20" max="20" width="20.7265625" style="195" customWidth="1"/>
    <col min="21" max="16384" width="8.81640625" style="195"/>
  </cols>
  <sheetData>
    <row r="1" spans="1:23" s="197" customFormat="1" ht="37.950000000000003" customHeight="1">
      <c r="A1" s="1302" t="s">
        <v>2868</v>
      </c>
      <c r="B1" s="1302"/>
      <c r="C1" s="1302"/>
      <c r="D1" s="1302"/>
      <c r="E1" s="184"/>
      <c r="F1" s="185"/>
    </row>
    <row r="2" spans="1:23" s="186" customFormat="1" ht="21" customHeight="1">
      <c r="A2" s="1302"/>
      <c r="B2" s="1302"/>
      <c r="C2" s="1302"/>
      <c r="D2" s="1302"/>
      <c r="E2" s="1272"/>
      <c r="F2" s="1291" t="s">
        <v>3255</v>
      </c>
      <c r="G2" s="1259"/>
      <c r="H2" s="1263" t="s">
        <v>395</v>
      </c>
      <c r="I2" s="1268"/>
      <c r="J2" s="1259" t="s">
        <v>117</v>
      </c>
      <c r="K2" s="1268"/>
      <c r="L2" s="1259" t="s">
        <v>206</v>
      </c>
      <c r="M2" s="1268"/>
      <c r="N2" s="1259" t="s">
        <v>396</v>
      </c>
      <c r="O2" s="1093"/>
      <c r="T2" s="189"/>
    </row>
    <row r="3" spans="1:23" s="186" customFormat="1" ht="21" customHeight="1">
      <c r="A3" s="1302"/>
      <c r="B3" s="1302"/>
      <c r="C3" s="1302"/>
      <c r="D3" s="1302"/>
      <c r="E3" s="1272"/>
      <c r="F3" s="1292"/>
      <c r="G3" s="1264"/>
      <c r="H3" s="1279">
        <f>INDEX(cbalTotalCLV,xxIndexTeam)/1000000</f>
        <v>1572.7737531877312</v>
      </c>
      <c r="I3" s="1280"/>
      <c r="J3" s="1279">
        <f>INDEX(finPNLTotalRev,xxIndexTeam)/1000000</f>
        <v>1082.9839404293339</v>
      </c>
      <c r="K3" s="1280"/>
      <c r="L3" s="1279">
        <f>INDEX(finPNLTotalGrossProfit,xxIndexTeam)/1000000</f>
        <v>725.5332942945796</v>
      </c>
      <c r="M3" s="1280"/>
      <c r="N3" s="1279">
        <f>INDEX(finPNLTotalOpsProfit,xxIndexTeam)/1000000</f>
        <v>582.78329429457972</v>
      </c>
      <c r="T3" s="189"/>
    </row>
    <row r="4" spans="1:23" s="186" customFormat="1" ht="21" customHeight="1">
      <c r="A4" s="1302"/>
      <c r="B4" s="1302"/>
      <c r="C4" s="1302"/>
      <c r="D4" s="1302"/>
      <c r="E4" s="1272"/>
      <c r="F4" s="1293"/>
      <c r="G4" s="1264"/>
      <c r="H4" s="1265"/>
      <c r="I4" s="1269"/>
      <c r="J4" s="1273">
        <f>INDEX(finPNLTotalRevGrowth,xxIndexTeam)</f>
        <v>0.13562840108960605</v>
      </c>
      <c r="K4" s="1274"/>
      <c r="L4" s="1273">
        <f>INDEX(finPNLTotalGrossMargin,xxIndexTeam)</f>
        <v>0.6699391073213441</v>
      </c>
      <c r="M4" s="1274"/>
      <c r="N4" s="1273">
        <f>INDEX(finPNLTotalOpsMargin,xxIndexTeam)</f>
        <v>0.53812736508682057</v>
      </c>
      <c r="O4" s="1262"/>
      <c r="T4" s="189"/>
    </row>
    <row r="5" spans="1:23" s="186" customFormat="1" ht="21" customHeight="1">
      <c r="A5" s="1302"/>
      <c r="B5" s="1302"/>
      <c r="C5" s="1302"/>
      <c r="D5" s="1302"/>
      <c r="E5" s="1272"/>
      <c r="F5" s="1291" t="s">
        <v>3256</v>
      </c>
      <c r="G5" s="1259"/>
      <c r="H5" s="1263" t="s">
        <v>399</v>
      </c>
      <c r="I5" s="1268"/>
      <c r="J5" s="1263" t="s">
        <v>400</v>
      </c>
      <c r="K5" s="1268"/>
      <c r="L5" s="1263" t="s">
        <v>1741</v>
      </c>
      <c r="M5" s="1268"/>
      <c r="N5" s="1259"/>
      <c r="O5" s="1093"/>
      <c r="T5" s="189"/>
    </row>
    <row r="6" spans="1:23" s="186" customFormat="1" ht="21" customHeight="1">
      <c r="A6" s="1302"/>
      <c r="B6" s="1302"/>
      <c r="C6" s="1302"/>
      <c r="D6" s="1302"/>
      <c r="E6" s="1272"/>
      <c r="F6" s="1292"/>
      <c r="G6" s="1264"/>
      <c r="H6" s="1266">
        <f>INDEX(cbalCloudAdoption,xxIndexTeam)</f>
        <v>0.83995427246632004</v>
      </c>
      <c r="I6" s="1271"/>
      <c r="J6" s="1266">
        <f>INDEX(cbalAvgConsumption,xxIndexTeam)</f>
        <v>0.14889885236960354</v>
      </c>
      <c r="K6" s="1271"/>
      <c r="L6" s="1266">
        <f>1-INDEX(cbalAvgRenRate,xxIndexTeam)</f>
        <v>0.31005617740451386</v>
      </c>
      <c r="M6" s="189"/>
      <c r="N6" s="237"/>
      <c r="T6" s="189"/>
    </row>
    <row r="7" spans="1:23" s="186" customFormat="1" ht="21" customHeight="1">
      <c r="A7" s="1302"/>
      <c r="B7" s="1302"/>
      <c r="C7" s="1302"/>
      <c r="D7" s="1302"/>
      <c r="E7" s="1272"/>
      <c r="F7" s="1293"/>
      <c r="G7" s="1264"/>
      <c r="H7" s="1265"/>
      <c r="I7" s="1269"/>
      <c r="J7" s="1261"/>
      <c r="K7" s="1270"/>
      <c r="L7" s="1261"/>
      <c r="M7" s="1270"/>
      <c r="N7" s="1261"/>
      <c r="O7" s="1262"/>
      <c r="T7" s="189"/>
    </row>
    <row r="8" spans="1:23" s="186" customFormat="1" ht="21" customHeight="1">
      <c r="A8" s="1302"/>
      <c r="B8" s="1302"/>
      <c r="C8" s="1302"/>
      <c r="D8" s="1302"/>
      <c r="E8" s="1272"/>
      <c r="F8" s="1291" t="s">
        <v>3257</v>
      </c>
      <c r="G8" s="1259"/>
      <c r="H8" s="1263" t="s">
        <v>394</v>
      </c>
      <c r="I8" s="1268"/>
      <c r="J8" s="1263" t="s">
        <v>2665</v>
      </c>
      <c r="K8" s="1268"/>
      <c r="L8" s="1263" t="s">
        <v>170</v>
      </c>
      <c r="M8" s="1268"/>
      <c r="N8" s="1259"/>
      <c r="O8" s="1093"/>
      <c r="T8" s="189"/>
    </row>
    <row r="9" spans="1:23" s="186" customFormat="1" ht="21" customHeight="1">
      <c r="A9" s="1302"/>
      <c r="B9" s="1302"/>
      <c r="C9" s="1302"/>
      <c r="D9" s="1302"/>
      <c r="E9" s="1272"/>
      <c r="F9" s="1292"/>
      <c r="G9" s="1264"/>
      <c r="H9" s="1267">
        <f ca="1">INDEX(cbalWHI,xxIndexTeam)</f>
        <v>79.546374999999998</v>
      </c>
      <c r="I9" s="1271"/>
      <c r="J9" s="1267">
        <f>INDEX(cbalCPE,xxIndexTeam)</f>
        <v>78.678750000000008</v>
      </c>
      <c r="K9" s="1271"/>
      <c r="L9" s="1275">
        <f>INDEX(calcFTEsRemaining,xxIndexTeam)</f>
        <v>750</v>
      </c>
      <c r="M9" s="189"/>
      <c r="N9" s="237"/>
      <c r="T9" s="189"/>
    </row>
    <row r="10" spans="1:23" s="186" customFormat="1" ht="21" customHeight="1">
      <c r="A10" s="1302"/>
      <c r="B10" s="1302"/>
      <c r="C10" s="1302"/>
      <c r="D10" s="1302"/>
      <c r="E10" s="1272"/>
      <c r="F10" s="1293"/>
      <c r="G10" s="1261"/>
      <c r="H10" s="1261"/>
      <c r="I10" s="1261"/>
      <c r="J10" s="1261"/>
      <c r="K10" s="1270"/>
      <c r="L10" s="1261"/>
      <c r="M10" s="1270"/>
      <c r="N10" s="1261"/>
      <c r="O10" s="1262"/>
      <c r="T10" s="189"/>
    </row>
    <row r="11" spans="1:23" s="186" customFormat="1" ht="124.95" customHeight="1">
      <c r="A11" s="1302"/>
      <c r="B11" s="1302"/>
      <c r="C11" s="1302"/>
      <c r="D11" s="1302"/>
      <c r="E11" s="196"/>
      <c r="F11" s="1063" t="s">
        <v>2863</v>
      </c>
      <c r="G11" s="1064"/>
      <c r="H11" s="190" t="s">
        <v>117</v>
      </c>
      <c r="I11" s="187"/>
      <c r="J11" s="190" t="s">
        <v>1698</v>
      </c>
      <c r="K11" s="187"/>
      <c r="L11" s="190" t="s">
        <v>974</v>
      </c>
      <c r="M11" s="187"/>
      <c r="N11" s="190" t="s">
        <v>3279</v>
      </c>
      <c r="O11" s="188"/>
      <c r="P11" s="188"/>
      <c r="V11" s="186" t="s">
        <v>2762</v>
      </c>
      <c r="W11" s="186" t="s">
        <v>122</v>
      </c>
    </row>
    <row r="12" spans="1:23" s="191" customFormat="1" ht="62.4" customHeight="1">
      <c r="A12" s="1302"/>
      <c r="B12" s="1302"/>
      <c r="C12" s="1302"/>
      <c r="D12" s="1302"/>
      <c r="P12" s="221"/>
    </row>
    <row r="13" spans="1:23" s="198" customFormat="1" ht="25.2" customHeight="1">
      <c r="F13" s="204"/>
      <c r="G13" s="201"/>
      <c r="H13" s="201"/>
      <c r="I13" s="201"/>
      <c r="J13" s="204"/>
      <c r="M13" s="201"/>
      <c r="N13" s="204"/>
      <c r="O13" s="201"/>
      <c r="P13" s="272"/>
      <c r="Q13" s="201"/>
      <c r="R13" s="224"/>
      <c r="S13" s="201"/>
      <c r="T13" s="224"/>
    </row>
    <row r="14" spans="1:23" s="268" customFormat="1" ht="33.6" customHeight="1">
      <c r="B14" s="503" t="s">
        <v>413</v>
      </c>
      <c r="H14" s="265"/>
      <c r="J14" s="219"/>
    </row>
    <row r="15" spans="1:23" s="198" customFormat="1" ht="25.2" customHeight="1">
      <c r="F15" s="201"/>
    </row>
    <row r="16" spans="1:23" s="198" customFormat="1" ht="25.2" customHeight="1">
      <c r="B16" s="198" t="str">
        <f>nmProd1</f>
        <v>Productivity &amp; Business</v>
      </c>
      <c r="F16" s="209"/>
      <c r="H16" s="210"/>
      <c r="J16" s="208"/>
      <c r="N16" s="208"/>
      <c r="P16" s="201"/>
      <c r="Q16" s="201"/>
      <c r="R16" s="276"/>
      <c r="S16" s="201"/>
      <c r="T16" s="276"/>
    </row>
    <row r="17" spans="1:20" s="198" customFormat="1" ht="25.2" customHeight="1">
      <c r="F17" s="211"/>
      <c r="H17" s="201"/>
      <c r="J17" s="208"/>
      <c r="N17" s="208"/>
      <c r="P17" s="201"/>
      <c r="Q17" s="201"/>
      <c r="R17" s="276"/>
      <c r="S17" s="201"/>
      <c r="T17" s="276"/>
    </row>
    <row r="18" spans="1:20" s="198" customFormat="1" ht="25.2" customHeight="1">
      <c r="F18" s="204"/>
      <c r="G18" s="201"/>
      <c r="H18" s="201"/>
      <c r="I18" s="201"/>
      <c r="J18" s="204"/>
      <c r="M18" s="201"/>
      <c r="N18" s="204"/>
      <c r="O18" s="201"/>
      <c r="P18" s="201"/>
      <c r="Q18" s="201"/>
      <c r="R18" s="224"/>
      <c r="S18" s="201"/>
      <c r="T18" s="224"/>
    </row>
    <row r="19" spans="1:20" s="198" customFormat="1" ht="25.2" customHeight="1">
      <c r="B19" s="203" t="str">
        <f>nmProd3</f>
        <v>Personal Computing</v>
      </c>
      <c r="F19" s="211"/>
      <c r="H19" s="201"/>
      <c r="I19" s="201"/>
      <c r="J19" s="204"/>
      <c r="M19" s="201"/>
      <c r="N19" s="204"/>
      <c r="O19" s="201"/>
      <c r="P19" s="201"/>
      <c r="Q19" s="201"/>
      <c r="R19" s="224"/>
      <c r="S19" s="201"/>
      <c r="T19" s="224"/>
    </row>
    <row r="20" spans="1:20" s="198" customFormat="1" ht="25.2" customHeight="1">
      <c r="E20" s="201"/>
      <c r="F20" s="204"/>
      <c r="G20" s="201"/>
      <c r="H20" s="201"/>
      <c r="I20" s="201"/>
      <c r="J20" s="204"/>
      <c r="M20" s="201"/>
      <c r="N20" s="204"/>
      <c r="O20" s="201"/>
      <c r="P20" s="277"/>
      <c r="Q20" s="201"/>
      <c r="R20" s="224"/>
      <c r="S20" s="201"/>
      <c r="T20" s="224"/>
    </row>
    <row r="21" spans="1:20" s="268" customFormat="1" ht="33.6" customHeight="1">
      <c r="B21" s="198"/>
      <c r="C21" s="198"/>
      <c r="D21" s="198"/>
      <c r="E21" s="198"/>
      <c r="F21" s="204"/>
      <c r="G21" s="201"/>
      <c r="H21" s="201"/>
      <c r="I21" s="201"/>
      <c r="J21" s="204"/>
      <c r="K21" s="198"/>
      <c r="L21" s="198"/>
      <c r="M21" s="201"/>
      <c r="N21" s="204"/>
      <c r="O21" s="201"/>
    </row>
    <row r="22" spans="1:20" s="198" customFormat="1" ht="25.2" customHeight="1">
      <c r="B22" s="245"/>
      <c r="C22" s="245"/>
      <c r="D22" s="245"/>
      <c r="E22" s="245"/>
      <c r="F22" s="248"/>
      <c r="G22" s="1097"/>
      <c r="H22" s="245"/>
      <c r="I22" s="245"/>
      <c r="J22" s="248"/>
      <c r="K22" s="245"/>
      <c r="L22" s="245"/>
      <c r="M22" s="245"/>
      <c r="N22" s="248"/>
      <c r="O22" s="245"/>
      <c r="P22" s="201"/>
      <c r="Q22" s="201"/>
      <c r="R22" s="201"/>
      <c r="S22" s="201"/>
      <c r="T22" s="201"/>
    </row>
    <row r="23" spans="1:20" s="191" customFormat="1" ht="33.6" customHeight="1">
      <c r="A23" s="268"/>
      <c r="B23" s="503" t="str">
        <f>nmSeg3&amp;" Forecasting (New Subscriptions/Devices)"</f>
        <v>Consumer Forecasting (New Subscriptions/Devices)</v>
      </c>
      <c r="G23" s="1099"/>
      <c r="H23" s="503" t="str">
        <f>nmSeg3&amp;" Revenue"</f>
        <v>Consumer Revenue</v>
      </c>
      <c r="K23" s="193"/>
      <c r="N23" s="199"/>
    </row>
    <row r="24" spans="1:20" s="198" customFormat="1" ht="25.2" customHeight="1">
      <c r="D24" s="200"/>
      <c r="F24" s="200"/>
      <c r="G24" s="1098"/>
      <c r="L24" s="200"/>
      <c r="T24" s="200"/>
    </row>
    <row r="25" spans="1:20" s="198" customFormat="1" ht="25.2" customHeight="1">
      <c r="D25" s="193"/>
      <c r="F25" s="200"/>
      <c r="G25" s="1098"/>
      <c r="L25" s="200"/>
      <c r="T25" s="200"/>
    </row>
    <row r="26" spans="1:20" s="198" customFormat="1" ht="25.2" customHeight="1">
      <c r="B26" s="198" t="str">
        <f>nmProd1</f>
        <v>Productivity &amp; Business</v>
      </c>
      <c r="D26" s="900">
        <v>9.0000000000000011E-2</v>
      </c>
      <c r="F26" s="200"/>
      <c r="G26" s="1098"/>
      <c r="L26" s="200"/>
      <c r="T26" s="200"/>
    </row>
    <row r="27" spans="1:20" s="198" customFormat="1" ht="25.2" customHeight="1">
      <c r="B27" s="1218" t="s">
        <v>2840</v>
      </c>
      <c r="D27" s="1222">
        <f>INDEX(obalOpsProd1Seg3Share,xxIndexTeam)</f>
        <v>0.09</v>
      </c>
      <c r="E27" s="201"/>
      <c r="F27" s="200"/>
      <c r="G27" s="1098"/>
      <c r="L27" s="200"/>
      <c r="T27" s="200"/>
    </row>
    <row r="28" spans="1:20" s="198" customFormat="1" ht="25.2" customHeight="1">
      <c r="B28" s="201"/>
      <c r="D28" s="204"/>
      <c r="E28" s="201"/>
      <c r="F28" s="200"/>
      <c r="G28" s="1098"/>
      <c r="L28" s="200"/>
      <c r="T28" s="200"/>
    </row>
    <row r="29" spans="1:20" s="198" customFormat="1" ht="25.2" customHeight="1">
      <c r="D29" s="204"/>
      <c r="F29" s="200"/>
      <c r="G29" s="1098"/>
      <c r="L29" s="200"/>
      <c r="T29" s="200"/>
    </row>
    <row r="30" spans="1:20" s="198" customFormat="1" ht="25.2" customHeight="1">
      <c r="C30" s="201"/>
      <c r="D30" s="204"/>
      <c r="F30" s="200"/>
      <c r="G30" s="1098"/>
      <c r="L30" s="200"/>
      <c r="T30" s="200"/>
    </row>
    <row r="31" spans="1:20" s="198" customFormat="1" ht="25.2" customHeight="1">
      <c r="B31" s="201"/>
      <c r="D31" s="204"/>
      <c r="E31" s="201"/>
      <c r="F31" s="200"/>
      <c r="G31" s="1098"/>
      <c r="L31" s="200"/>
      <c r="T31" s="200"/>
    </row>
    <row r="32" spans="1:20" s="198" customFormat="1" ht="25.2" customHeight="1">
      <c r="B32" s="198" t="str">
        <f>nmProd3</f>
        <v>Personal Computing</v>
      </c>
      <c r="D32" s="900">
        <v>9.0000000000000011E-2</v>
      </c>
      <c r="F32" s="200"/>
      <c r="G32" s="1098"/>
      <c r="L32" s="200"/>
      <c r="T32" s="200"/>
    </row>
    <row r="33" spans="2:26" s="198" customFormat="1" ht="25.2" customHeight="1">
      <c r="B33" s="1218" t="s">
        <v>2840</v>
      </c>
      <c r="D33" s="1222">
        <f>INDEX(obalOpsProd3Seg3Share,xxIndexTeam)</f>
        <v>0.09</v>
      </c>
      <c r="F33" s="200"/>
      <c r="G33" s="1098"/>
      <c r="L33" s="200"/>
      <c r="T33" s="200"/>
    </row>
    <row r="34" spans="2:26" s="198" customFormat="1" ht="25.2" customHeight="1">
      <c r="C34" s="201"/>
      <c r="D34" s="204"/>
      <c r="F34" s="200"/>
      <c r="G34" s="1098"/>
      <c r="L34" s="200"/>
      <c r="T34" s="200"/>
    </row>
    <row r="35" spans="2:26" s="198" customFormat="1" ht="25.2" customHeight="1">
      <c r="B35" s="201"/>
      <c r="C35" s="201"/>
      <c r="D35" s="537"/>
      <c r="E35" s="201"/>
      <c r="F35" s="200"/>
      <c r="L35" s="200"/>
      <c r="T35" s="200"/>
    </row>
    <row r="36" spans="2:26" s="191" customFormat="1" ht="25.2" customHeight="1">
      <c r="B36" s="249"/>
      <c r="C36" s="249"/>
      <c r="D36" s="249"/>
      <c r="E36" s="249"/>
      <c r="F36" s="249"/>
      <c r="G36" s="245"/>
      <c r="H36" s="250"/>
      <c r="I36" s="249"/>
      <c r="J36" s="249"/>
      <c r="K36" s="249"/>
      <c r="L36" s="249"/>
      <c r="M36" s="249"/>
      <c r="N36" s="250"/>
      <c r="O36" s="249"/>
      <c r="V36" s="242"/>
      <c r="W36" s="194"/>
      <c r="X36" s="242"/>
      <c r="Y36" s="194"/>
      <c r="Z36" s="242"/>
    </row>
    <row r="37" spans="2:26" s="191" customFormat="1" ht="33.6" customHeight="1">
      <c r="B37" s="503" t="s">
        <v>3276</v>
      </c>
      <c r="H37" s="899" t="s">
        <v>3277</v>
      </c>
      <c r="I37" s="194"/>
      <c r="J37" s="871"/>
      <c r="K37" s="199"/>
      <c r="N37" s="241"/>
      <c r="V37" s="242"/>
      <c r="X37" s="242"/>
      <c r="Z37" s="242"/>
    </row>
    <row r="38" spans="2:26" s="198" customFormat="1" ht="25.2" customHeight="1">
      <c r="I38" s="201"/>
      <c r="J38" s="872"/>
      <c r="N38" s="193"/>
      <c r="T38" s="202"/>
      <c r="V38" s="242"/>
      <c r="X38" s="242"/>
      <c r="Z38" s="242"/>
    </row>
    <row r="39" spans="2:26" s="198" customFormat="1" ht="25.2" customHeight="1">
      <c r="E39" s="213"/>
      <c r="I39" s="201"/>
      <c r="J39" s="201"/>
      <c r="K39" s="213"/>
      <c r="Q39" s="213"/>
      <c r="U39" s="201"/>
      <c r="V39" s="201"/>
      <c r="W39" s="201"/>
      <c r="X39" s="201"/>
      <c r="Y39" s="201"/>
      <c r="Z39" s="201"/>
    </row>
    <row r="40" spans="2:26" s="198" customFormat="1" ht="25.2" customHeight="1">
      <c r="B40" s="203" t="str">
        <f>nmSkill1</f>
        <v>Technical Expertise</v>
      </c>
      <c r="I40" s="201"/>
      <c r="J40" s="201"/>
      <c r="K40" s="213"/>
      <c r="N40" s="203"/>
      <c r="U40" s="201"/>
      <c r="V40" s="201"/>
      <c r="W40" s="201"/>
      <c r="X40" s="201"/>
      <c r="Y40" s="201"/>
      <c r="Z40" s="201"/>
    </row>
    <row r="41" spans="2:26" s="198" customFormat="1" ht="25.2" customHeight="1">
      <c r="I41" s="201"/>
      <c r="J41" s="201"/>
      <c r="K41" s="213"/>
      <c r="U41" s="201"/>
      <c r="V41" s="201"/>
      <c r="W41" s="201"/>
      <c r="X41" s="201"/>
      <c r="Y41" s="201"/>
      <c r="Z41" s="201"/>
    </row>
    <row r="42" spans="2:26" s="198" customFormat="1" ht="25.2" customHeight="1">
      <c r="B42" s="902" t="s">
        <v>3101</v>
      </c>
      <c r="D42" s="1300">
        <f>INDEX(cbalConsumerSkill1,xxIndexTeam)</f>
        <v>8</v>
      </c>
      <c r="E42" s="1300"/>
      <c r="F42" s="1300"/>
      <c r="I42" s="201"/>
      <c r="J42" s="201"/>
      <c r="K42" s="213"/>
      <c r="Q42" s="222"/>
      <c r="S42" s="213"/>
      <c r="U42" s="201"/>
      <c r="V42" s="201"/>
      <c r="W42" s="201"/>
      <c r="X42" s="201"/>
      <c r="Y42" s="201"/>
      <c r="Z42" s="201"/>
    </row>
    <row r="43" spans="2:26" s="198" customFormat="1" ht="25.2" customHeight="1">
      <c r="B43" s="902" t="s">
        <v>3105</v>
      </c>
      <c r="C43" s="201"/>
      <c r="D43" s="1300">
        <f>INDEX(calcConsumerSkill1FTEs,xxIndexTeam)</f>
        <v>0</v>
      </c>
      <c r="E43" s="1300"/>
      <c r="F43" s="1300"/>
      <c r="I43" s="201"/>
      <c r="J43" s="201"/>
      <c r="K43" s="213"/>
      <c r="M43" s="201"/>
      <c r="N43" s="201"/>
      <c r="O43" s="201"/>
      <c r="P43" s="201"/>
      <c r="Q43" s="223"/>
      <c r="R43" s="201"/>
      <c r="S43" s="213"/>
      <c r="U43" s="201"/>
      <c r="V43" s="201"/>
      <c r="W43" s="201"/>
      <c r="X43" s="201"/>
      <c r="Y43" s="201"/>
      <c r="Z43" s="201"/>
    </row>
    <row r="44" spans="2:26" s="198" customFormat="1" ht="25.2" customHeight="1">
      <c r="B44" s="902" t="s">
        <v>3106</v>
      </c>
      <c r="C44" s="201"/>
      <c r="D44" s="1301">
        <f>INDEX(calcConsumerSkill1Exp,xxIndexTeam)</f>
        <v>0</v>
      </c>
      <c r="E44" s="1301"/>
      <c r="F44" s="1301"/>
      <c r="I44" s="201"/>
      <c r="J44" s="872"/>
      <c r="K44" s="213"/>
      <c r="M44" s="201"/>
      <c r="N44" s="201"/>
      <c r="O44" s="201"/>
      <c r="P44" s="201"/>
      <c r="Q44" s="223"/>
      <c r="R44" s="201"/>
      <c r="S44" s="213"/>
      <c r="U44" s="201"/>
      <c r="V44" s="201"/>
      <c r="W44" s="201"/>
      <c r="X44" s="201"/>
      <c r="Y44" s="201"/>
      <c r="Z44" s="201"/>
    </row>
    <row r="45" spans="2:26" s="198" customFormat="1" ht="25.2" customHeight="1">
      <c r="I45" s="201"/>
      <c r="J45" s="201"/>
      <c r="N45" s="193"/>
      <c r="T45" s="202"/>
      <c r="V45" s="242"/>
      <c r="X45" s="242"/>
      <c r="Z45" s="242"/>
    </row>
    <row r="46" spans="2:26" s="198" customFormat="1" ht="25.2" customHeight="1">
      <c r="E46" s="213"/>
      <c r="I46" s="201"/>
      <c r="J46" s="201"/>
      <c r="K46" s="213"/>
      <c r="Q46" s="213"/>
      <c r="U46" s="201"/>
      <c r="V46" s="201"/>
      <c r="W46" s="201"/>
      <c r="X46" s="201"/>
      <c r="Y46" s="201"/>
      <c r="Z46" s="201"/>
    </row>
    <row r="47" spans="2:26" s="198" customFormat="1" ht="25.2" customHeight="1">
      <c r="B47" s="203" t="str">
        <f>nmSkill2</f>
        <v>Consultative Skills</v>
      </c>
      <c r="I47" s="201"/>
      <c r="J47" s="201"/>
      <c r="K47" s="213"/>
      <c r="N47" s="203"/>
      <c r="U47" s="201"/>
      <c r="V47" s="201"/>
      <c r="W47" s="201"/>
      <c r="X47" s="201"/>
      <c r="Y47" s="201"/>
      <c r="Z47" s="201"/>
    </row>
    <row r="48" spans="2:26" s="198" customFormat="1" ht="25.2" customHeight="1">
      <c r="I48" s="201"/>
      <c r="J48" s="201"/>
      <c r="K48" s="213"/>
      <c r="U48" s="201"/>
      <c r="V48" s="201"/>
      <c r="W48" s="201"/>
      <c r="X48" s="201"/>
      <c r="Y48" s="201"/>
      <c r="Z48" s="201"/>
    </row>
    <row r="49" spans="2:26" s="198" customFormat="1" ht="25.2" customHeight="1">
      <c r="B49" s="902" t="s">
        <v>3101</v>
      </c>
      <c r="D49" s="1300">
        <f>INDEX(cbalConsumerSkill2,xxIndexTeam)</f>
        <v>5</v>
      </c>
      <c r="E49" s="1300"/>
      <c r="F49" s="1300"/>
      <c r="I49" s="201"/>
      <c r="J49" s="201"/>
      <c r="K49" s="213"/>
      <c r="Q49" s="222"/>
      <c r="S49" s="213"/>
      <c r="U49" s="201"/>
      <c r="V49" s="201"/>
      <c r="W49" s="201"/>
      <c r="X49" s="201"/>
      <c r="Y49" s="201"/>
      <c r="Z49" s="201"/>
    </row>
    <row r="50" spans="2:26" s="198" customFormat="1" ht="25.2" customHeight="1">
      <c r="B50" s="902" t="s">
        <v>3105</v>
      </c>
      <c r="C50" s="201"/>
      <c r="D50" s="1300">
        <f>INDEX(calcConsumerSkill2FTEs,xxIndexTeam)</f>
        <v>0</v>
      </c>
      <c r="E50" s="1300"/>
      <c r="F50" s="1300"/>
      <c r="I50" s="201"/>
      <c r="J50" s="201"/>
      <c r="K50" s="213"/>
      <c r="M50" s="201"/>
      <c r="N50" s="201"/>
      <c r="O50" s="201"/>
      <c r="P50" s="201"/>
      <c r="Q50" s="223"/>
      <c r="R50" s="201"/>
      <c r="S50" s="213"/>
      <c r="U50" s="201"/>
      <c r="V50" s="201"/>
      <c r="W50" s="201"/>
      <c r="X50" s="201"/>
      <c r="Y50" s="201"/>
      <c r="Z50" s="201"/>
    </row>
    <row r="51" spans="2:26" s="198" customFormat="1" ht="25.2" customHeight="1">
      <c r="B51" s="902" t="s">
        <v>3106</v>
      </c>
      <c r="C51" s="201"/>
      <c r="D51" s="1301">
        <f>INDEX(calcConsumerSkill2Exp,xxIndexTeam)</f>
        <v>0</v>
      </c>
      <c r="E51" s="1301"/>
      <c r="F51" s="1301"/>
      <c r="I51" s="201"/>
      <c r="J51" s="201"/>
      <c r="K51" s="213"/>
      <c r="Q51" s="213"/>
      <c r="U51" s="201"/>
      <c r="V51" s="201"/>
      <c r="W51" s="201"/>
      <c r="X51" s="201"/>
      <c r="Y51" s="201"/>
      <c r="Z51" s="201"/>
    </row>
    <row r="52" spans="2:26" s="198" customFormat="1" ht="25.2" customHeight="1">
      <c r="B52" s="201"/>
      <c r="C52" s="201"/>
      <c r="D52" s="201"/>
      <c r="E52" s="536"/>
      <c r="F52" s="213"/>
      <c r="I52" s="201"/>
      <c r="J52" s="201"/>
      <c r="K52" s="213"/>
      <c r="M52" s="201"/>
      <c r="N52" s="201"/>
      <c r="O52" s="201"/>
      <c r="P52" s="201"/>
      <c r="Q52" s="223"/>
      <c r="R52" s="201"/>
      <c r="S52" s="213"/>
      <c r="U52" s="201"/>
      <c r="V52" s="201"/>
      <c r="W52" s="201"/>
      <c r="X52" s="201"/>
      <c r="Y52" s="201"/>
      <c r="Z52" s="201"/>
    </row>
    <row r="53" spans="2:26" s="198" customFormat="1" ht="25.2" customHeight="1">
      <c r="B53" s="245"/>
      <c r="C53" s="245"/>
      <c r="D53" s="245"/>
      <c r="E53" s="245"/>
      <c r="F53" s="248"/>
      <c r="G53" s="245"/>
      <c r="H53" s="245"/>
      <c r="I53" s="245"/>
      <c r="J53" s="248"/>
      <c r="K53" s="245"/>
      <c r="L53" s="245"/>
      <c r="M53" s="245"/>
      <c r="N53" s="248"/>
      <c r="O53" s="245"/>
      <c r="P53" s="201"/>
      <c r="Q53" s="201"/>
      <c r="R53" s="201"/>
      <c r="S53" s="201"/>
      <c r="T53" s="201"/>
    </row>
    <row r="54" spans="2:26" s="264" customFormat="1" ht="33.6" customHeight="1">
      <c r="B54" s="503" t="s">
        <v>3278</v>
      </c>
      <c r="H54" s="265"/>
      <c r="J54" s="267"/>
    </row>
    <row r="55" spans="2:26" s="198" customFormat="1" ht="33.6" customHeight="1">
      <c r="B55" s="207"/>
      <c r="H55" s="193"/>
      <c r="J55" s="206"/>
    </row>
    <row r="56" spans="2:26" s="198" customFormat="1" ht="24.6" customHeight="1">
      <c r="D56" s="200" t="s">
        <v>420</v>
      </c>
      <c r="F56" s="201"/>
      <c r="H56" s="200" t="s">
        <v>421</v>
      </c>
      <c r="J56" s="201"/>
      <c r="L56" s="200" t="s">
        <v>447</v>
      </c>
      <c r="P56" s="201"/>
      <c r="Q56" s="201"/>
      <c r="R56" s="201"/>
      <c r="S56" s="201"/>
      <c r="T56" s="201"/>
    </row>
    <row r="57" spans="2:26" s="198" customFormat="1" ht="25.2" customHeight="1">
      <c r="F57" s="201"/>
      <c r="G57" s="201"/>
      <c r="H57" s="201"/>
      <c r="I57" s="201"/>
      <c r="J57" s="201"/>
      <c r="M57" s="201"/>
      <c r="N57" s="201"/>
      <c r="O57" s="201"/>
      <c r="P57" s="201"/>
      <c r="Q57" s="201"/>
      <c r="R57" s="201"/>
      <c r="S57" s="201"/>
      <c r="T57" s="201"/>
    </row>
    <row r="58" spans="2:26" s="198" customFormat="1" ht="25.2" customHeight="1">
      <c r="F58" s="201"/>
      <c r="G58" s="201"/>
      <c r="H58" s="201"/>
      <c r="I58" s="201"/>
      <c r="J58" s="201"/>
      <c r="M58" s="201"/>
      <c r="N58" s="201"/>
      <c r="O58" s="201"/>
      <c r="P58" s="201"/>
      <c r="Q58" s="201"/>
      <c r="R58" s="201"/>
      <c r="S58" s="201"/>
      <c r="T58" s="201"/>
    </row>
    <row r="59" spans="2:26" s="198" customFormat="1" ht="25.2" customHeight="1">
      <c r="F59" s="201"/>
      <c r="G59" s="201"/>
      <c r="H59" s="201"/>
      <c r="I59" s="201"/>
      <c r="J59" s="201"/>
      <c r="M59" s="201"/>
      <c r="N59" s="201"/>
      <c r="O59" s="201"/>
      <c r="P59" s="201"/>
      <c r="Q59" s="201"/>
      <c r="R59" s="201"/>
      <c r="S59" s="201"/>
      <c r="T59" s="201"/>
    </row>
    <row r="60" spans="2:26" s="198" customFormat="1" ht="25.2" customHeight="1">
      <c r="F60" s="201"/>
      <c r="G60" s="201"/>
      <c r="H60" s="201"/>
      <c r="I60" s="201"/>
      <c r="J60" s="201"/>
      <c r="M60" s="201"/>
      <c r="N60" s="201"/>
      <c r="O60" s="201"/>
      <c r="P60" s="201"/>
      <c r="Q60" s="201"/>
      <c r="R60" s="201"/>
      <c r="S60" s="201"/>
      <c r="T60" s="201"/>
    </row>
    <row r="61" spans="2:26" s="198" customFormat="1" ht="25.2" customHeight="1">
      <c r="F61" s="201"/>
      <c r="G61" s="201"/>
      <c r="H61" s="201"/>
      <c r="I61" s="201"/>
      <c r="J61" s="201"/>
      <c r="M61" s="201"/>
      <c r="N61" s="201"/>
      <c r="O61" s="201"/>
      <c r="P61" s="201"/>
      <c r="Q61" s="201"/>
      <c r="R61" s="201"/>
      <c r="S61" s="201"/>
      <c r="T61" s="201"/>
    </row>
    <row r="62" spans="2:26" s="198" customFormat="1" ht="25.2" customHeight="1">
      <c r="F62" s="201"/>
      <c r="G62" s="201"/>
      <c r="H62" s="201"/>
      <c r="I62" s="201"/>
      <c r="J62" s="201"/>
      <c r="M62" s="201"/>
      <c r="N62" s="201"/>
      <c r="O62" s="201"/>
      <c r="P62" s="201"/>
      <c r="Q62" s="201"/>
      <c r="R62" s="201"/>
      <c r="S62" s="201"/>
      <c r="T62" s="201"/>
    </row>
    <row r="63" spans="2:26" s="198" customFormat="1" ht="25.2" customHeight="1">
      <c r="F63" s="201"/>
      <c r="G63" s="201"/>
      <c r="H63" s="201"/>
      <c r="I63" s="201"/>
      <c r="J63" s="201"/>
      <c r="M63" s="201"/>
      <c r="N63" s="201"/>
      <c r="O63" s="201"/>
      <c r="P63" s="201"/>
      <c r="Q63" s="201"/>
      <c r="R63" s="201"/>
      <c r="S63" s="201"/>
      <c r="T63" s="201"/>
    </row>
    <row r="64" spans="2:26" s="198" customFormat="1" ht="25.2" customHeight="1">
      <c r="F64" s="201"/>
      <c r="G64" s="201"/>
      <c r="H64" s="201"/>
      <c r="I64" s="201"/>
      <c r="J64" s="201"/>
      <c r="M64" s="201"/>
      <c r="N64" s="201"/>
      <c r="O64" s="201"/>
      <c r="P64" s="201"/>
      <c r="Q64" s="201"/>
      <c r="R64" s="201"/>
      <c r="S64" s="201"/>
      <c r="T64" s="201"/>
    </row>
    <row r="65" spans="2:20" s="198" customFormat="1" ht="25.2" customHeight="1">
      <c r="F65" s="201"/>
      <c r="G65" s="201"/>
      <c r="H65" s="201"/>
      <c r="I65" s="201"/>
      <c r="J65" s="201"/>
      <c r="M65" s="201"/>
      <c r="N65" s="201"/>
      <c r="O65" s="201"/>
      <c r="P65" s="201"/>
      <c r="Q65" s="201"/>
      <c r="R65" s="201"/>
      <c r="S65" s="201"/>
      <c r="T65" s="201"/>
    </row>
    <row r="66" spans="2:20" s="198" customFormat="1" ht="25.2" customHeight="1">
      <c r="F66" s="201"/>
      <c r="G66" s="201"/>
      <c r="H66" s="201"/>
      <c r="I66" s="201"/>
      <c r="J66" s="201"/>
      <c r="M66" s="201"/>
      <c r="N66" s="201"/>
      <c r="O66" s="201"/>
      <c r="P66" s="201"/>
      <c r="Q66" s="201"/>
      <c r="R66" s="201"/>
      <c r="S66" s="201"/>
      <c r="T66" s="201"/>
    </row>
    <row r="67" spans="2:20" s="198" customFormat="1" ht="25.2" customHeight="1">
      <c r="F67" s="201"/>
      <c r="G67" s="201"/>
      <c r="H67" s="201"/>
      <c r="I67" s="201"/>
      <c r="J67" s="201"/>
      <c r="M67" s="201"/>
      <c r="N67" s="201"/>
      <c r="O67" s="201"/>
      <c r="P67" s="201"/>
      <c r="Q67" s="201"/>
      <c r="R67" s="201"/>
      <c r="S67" s="201"/>
      <c r="T67" s="201"/>
    </row>
    <row r="68" spans="2:20" s="198" customFormat="1" ht="25.2" customHeight="1">
      <c r="F68" s="201"/>
      <c r="G68" s="201"/>
      <c r="H68" s="201"/>
      <c r="I68" s="201"/>
      <c r="J68" s="201"/>
      <c r="M68" s="201"/>
      <c r="N68" s="201"/>
      <c r="O68" s="201"/>
      <c r="P68" s="201"/>
      <c r="Q68" s="201"/>
      <c r="R68" s="201"/>
      <c r="S68" s="201"/>
      <c r="T68" s="201"/>
    </row>
    <row r="69" spans="2:20" s="198" customFormat="1" ht="25.2" customHeight="1">
      <c r="D69" s="896">
        <v>190</v>
      </c>
      <c r="F69" s="193"/>
      <c r="H69" s="896">
        <v>90</v>
      </c>
      <c r="L69" s="896">
        <v>110</v>
      </c>
    </row>
    <row r="70" spans="2:20" s="198" customFormat="1" ht="25.2" customHeight="1">
      <c r="B70" s="902" t="s">
        <v>2840</v>
      </c>
      <c r="D70" s="1223">
        <f>INDEX(obalConsumerDirectSalesFTEs,xxIndexTeam)</f>
        <v>190</v>
      </c>
      <c r="E70" s="201"/>
      <c r="F70" s="212"/>
      <c r="H70" s="1223">
        <f>INDEX(obalConsumerInsideSalesFTEs,xxIndexTeam)</f>
        <v>90</v>
      </c>
      <c r="I70" s="201"/>
      <c r="L70" s="1223">
        <f>INDEX(obalConsumerServicesFTEs,xxIndexTeam)</f>
        <v>110</v>
      </c>
      <c r="M70" s="201"/>
    </row>
    <row r="71" spans="2:20" s="198" customFormat="1" ht="25.2" customHeight="1">
      <c r="D71" s="213"/>
      <c r="H71" s="213"/>
      <c r="J71" s="204"/>
      <c r="K71" s="201"/>
      <c r="L71" s="213"/>
      <c r="N71" s="201"/>
    </row>
    <row r="72" spans="2:20" s="198" customFormat="1" ht="25.2" customHeight="1">
      <c r="B72" s="245"/>
      <c r="C72" s="245"/>
      <c r="D72" s="245"/>
      <c r="E72" s="245"/>
      <c r="F72" s="248"/>
      <c r="G72" s="245"/>
      <c r="H72" s="245"/>
      <c r="I72" s="245"/>
      <c r="J72" s="248"/>
      <c r="K72" s="245"/>
      <c r="L72" s="245"/>
      <c r="M72" s="245"/>
      <c r="N72" s="248"/>
      <c r="O72" s="245"/>
      <c r="P72" s="201"/>
      <c r="Q72" s="201"/>
      <c r="R72" s="201"/>
      <c r="S72" s="201"/>
      <c r="T72" s="201"/>
    </row>
    <row r="73" spans="2:20" s="198" customFormat="1" ht="33.6" customHeight="1">
      <c r="B73" s="503" t="s">
        <v>1098</v>
      </c>
      <c r="H73" s="193"/>
      <c r="J73" s="206"/>
    </row>
    <row r="74" spans="2:20" s="198" customFormat="1" ht="33.6" customHeight="1">
      <c r="B74" s="207"/>
      <c r="H74" s="193"/>
      <c r="J74" s="206"/>
    </row>
    <row r="75" spans="2:20" s="198" customFormat="1" ht="24.6" customHeight="1">
      <c r="D75" s="200" t="s">
        <v>495</v>
      </c>
      <c r="F75" s="201"/>
      <c r="H75" s="200" t="s">
        <v>426</v>
      </c>
      <c r="J75" s="201"/>
      <c r="L75" s="200" t="s">
        <v>425</v>
      </c>
      <c r="P75" s="201"/>
      <c r="Q75" s="201"/>
      <c r="R75" s="201"/>
      <c r="S75" s="201"/>
      <c r="T75" s="201"/>
    </row>
    <row r="76" spans="2:20" s="198" customFormat="1" ht="24.6" customHeight="1">
      <c r="D76" s="200"/>
      <c r="F76" s="201"/>
      <c r="H76" s="200"/>
      <c r="J76" s="201"/>
      <c r="L76" s="200"/>
      <c r="P76" s="201"/>
      <c r="Q76" s="201"/>
      <c r="R76" s="201"/>
      <c r="S76" s="201"/>
      <c r="T76" s="201"/>
    </row>
    <row r="77" spans="2:20" s="198" customFormat="1" ht="25.2" customHeight="1">
      <c r="B77" s="203" t="s">
        <v>446</v>
      </c>
      <c r="F77" s="201"/>
      <c r="J77" s="201"/>
      <c r="N77" s="201"/>
      <c r="O77" s="201"/>
      <c r="P77" s="201"/>
      <c r="Q77" s="201"/>
      <c r="R77" s="201"/>
      <c r="S77" s="201"/>
      <c r="T77" s="201"/>
    </row>
    <row r="78" spans="2:20" s="198" customFormat="1" ht="24.6" customHeight="1">
      <c r="D78" s="200"/>
      <c r="F78" s="201"/>
      <c r="H78" s="200"/>
      <c r="J78" s="201"/>
      <c r="L78" s="200"/>
      <c r="P78" s="201"/>
      <c r="Q78" s="201"/>
      <c r="R78" s="201"/>
      <c r="S78" s="201"/>
      <c r="T78" s="201"/>
    </row>
    <row r="79" spans="2:20" s="198" customFormat="1" ht="25.2" customHeight="1">
      <c r="B79" s="902" t="s">
        <v>3101</v>
      </c>
      <c r="D79" s="213">
        <f>INDEX(cbalConsumerPartnerDevelopment,xxIndexTeam)</f>
        <v>5</v>
      </c>
      <c r="F79" s="201"/>
      <c r="H79" s="213">
        <f>INDEX(cbalConsumerPartnerIncentives,xxIndexTeam)</f>
        <v>4</v>
      </c>
      <c r="J79" s="201"/>
      <c r="L79" s="213">
        <f>INDEX(cbalConsumerPartnerEducation,xxIndexTeam)</f>
        <v>3</v>
      </c>
      <c r="N79" s="201"/>
      <c r="O79" s="201"/>
      <c r="P79" s="201"/>
      <c r="Q79" s="201"/>
      <c r="R79" s="201"/>
      <c r="S79" s="201"/>
      <c r="T79" s="201"/>
    </row>
    <row r="80" spans="2:20" s="198" customFormat="1" ht="25.2" customHeight="1">
      <c r="B80" s="902" t="s">
        <v>3105</v>
      </c>
      <c r="D80" s="213">
        <f>INDEX(calcConsumerPartnerDevelopmentFTEs,xxIndexTeam)</f>
        <v>0</v>
      </c>
      <c r="F80" s="201"/>
      <c r="H80" s="213">
        <f>INDEX(calcConsumerPartnerIncentivesFTEs,xxIndexTeam)</f>
        <v>0</v>
      </c>
      <c r="J80" s="201"/>
      <c r="L80" s="213">
        <f>INDEX(calcConsumerPartnerEducationFTEs,xxIndexTeam)</f>
        <v>0</v>
      </c>
      <c r="N80" s="201"/>
      <c r="O80" s="201"/>
      <c r="P80" s="201"/>
      <c r="Q80" s="201"/>
      <c r="R80" s="201"/>
      <c r="S80" s="201"/>
      <c r="T80" s="201"/>
    </row>
    <row r="81" spans="1:20" s="198" customFormat="1" ht="25.2" customHeight="1">
      <c r="B81" s="902" t="s">
        <v>3106</v>
      </c>
      <c r="D81" s="1219">
        <f>INDEX(calcConsumerPartnerDevelopmentExp,xxIndexTeam)</f>
        <v>0</v>
      </c>
      <c r="F81" s="201"/>
      <c r="H81" s="1219">
        <f>INDEX(calcConsumerPartnerIncentivesExp,xxIndexTeam)</f>
        <v>0</v>
      </c>
      <c r="J81" s="201"/>
      <c r="L81" s="1219">
        <f>INDEX(calcConsumerPartnerEducationExp,xxIndexTeam)</f>
        <v>0</v>
      </c>
      <c r="N81" s="201"/>
      <c r="O81" s="201"/>
      <c r="P81" s="201"/>
      <c r="Q81" s="201"/>
      <c r="R81" s="201"/>
      <c r="S81" s="201"/>
      <c r="T81" s="201"/>
    </row>
    <row r="82" spans="1:20" s="198" customFormat="1" ht="25.2" customHeight="1">
      <c r="F82" s="201"/>
      <c r="G82" s="201"/>
      <c r="H82" s="201"/>
      <c r="I82" s="201"/>
      <c r="J82" s="201"/>
      <c r="M82" s="201"/>
      <c r="N82" s="201"/>
      <c r="O82" s="201"/>
      <c r="P82" s="201"/>
      <c r="Q82" s="201"/>
      <c r="R82" s="201"/>
      <c r="S82" s="201"/>
      <c r="T82" s="201"/>
    </row>
    <row r="83" spans="1:20" s="198" customFormat="1" ht="24.6">
      <c r="N83" s="202"/>
    </row>
    <row r="84" spans="1:20" s="198" customFormat="1" ht="25.2" customHeight="1">
      <c r="B84" s="245"/>
      <c r="C84" s="245"/>
      <c r="D84" s="245"/>
      <c r="E84" s="245"/>
      <c r="F84" s="248"/>
      <c r="G84" s="245"/>
      <c r="H84" s="245"/>
      <c r="I84" s="245"/>
      <c r="J84" s="248"/>
      <c r="K84" s="245"/>
      <c r="L84" s="245"/>
      <c r="M84" s="245"/>
      <c r="N84" s="248"/>
      <c r="O84" s="245"/>
      <c r="P84" s="201"/>
      <c r="Q84" s="201"/>
      <c r="R84" s="201"/>
      <c r="S84" s="201"/>
      <c r="T84" s="201"/>
    </row>
    <row r="85" spans="1:20" s="264" customFormat="1" ht="33.6" customHeight="1">
      <c r="A85" s="198"/>
      <c r="B85" s="503" t="s">
        <v>1099</v>
      </c>
      <c r="H85" s="265"/>
      <c r="J85" s="266"/>
    </row>
    <row r="86" spans="1:20" s="198" customFormat="1" ht="25.2" customHeight="1">
      <c r="F86" s="201"/>
      <c r="G86" s="201"/>
      <c r="H86" s="201"/>
      <c r="I86" s="201"/>
      <c r="J86" s="201"/>
      <c r="M86" s="201"/>
      <c r="N86" s="201"/>
      <c r="O86" s="201"/>
      <c r="P86" s="201"/>
      <c r="Q86" s="201"/>
      <c r="R86" s="201"/>
      <c r="S86" s="201"/>
      <c r="T86" s="201"/>
    </row>
    <row r="87" spans="1:20" s="198" customFormat="1" ht="25.2" customHeight="1">
      <c r="D87" s="200" t="str">
        <f>nmPartner4</f>
        <v>Channels</v>
      </c>
      <c r="E87" s="200"/>
      <c r="F87" s="200"/>
      <c r="G87" s="200"/>
      <c r="H87" s="200" t="str">
        <f>nmPartner5</f>
        <v>Retailer</v>
      </c>
      <c r="I87" s="200"/>
      <c r="J87" s="200"/>
      <c r="K87" s="200"/>
      <c r="L87" s="200" t="str">
        <f>nmPartner6</f>
        <v>Developer</v>
      </c>
    </row>
    <row r="88" spans="1:20" s="198" customFormat="1" ht="25.2" customHeight="1">
      <c r="D88" s="193"/>
      <c r="L88" s="202"/>
    </row>
    <row r="89" spans="1:20" s="198" customFormat="1" ht="25.2" customHeight="1">
      <c r="B89" s="203" t="s">
        <v>412</v>
      </c>
      <c r="D89" s="895">
        <v>0.33</v>
      </c>
      <c r="H89" s="895">
        <v>0.33</v>
      </c>
      <c r="L89" s="254">
        <f>1-D89-H89</f>
        <v>0.33999999999999991</v>
      </c>
    </row>
    <row r="90" spans="1:20" s="198" customFormat="1" ht="31.2" customHeight="1">
      <c r="B90" s="902" t="s">
        <v>2839</v>
      </c>
      <c r="D90" s="213">
        <f>INDEX(cbalConsumerPartner4FTEs,xxIndexTeam)</f>
        <v>0</v>
      </c>
      <c r="H90" s="213">
        <f>INDEX(cbalConsumerPartner5FTEs,xxIndexTeam)</f>
        <v>0</v>
      </c>
      <c r="L90" s="213">
        <f>INDEX(cbalConsumerPartner6FTEs,xxIndexTeam)</f>
        <v>0</v>
      </c>
    </row>
    <row r="91" spans="1:20" s="198" customFormat="1" ht="25.2" customHeight="1">
      <c r="B91" s="902" t="s">
        <v>3106</v>
      </c>
      <c r="D91" s="1219">
        <f>INDEX(cbalConsumerPartner4Budget,xxIndexTeam)</f>
        <v>825000</v>
      </c>
      <c r="H91" s="1219">
        <f>INDEX(cbalConsumerPartner5Budget,xxIndexTeam)</f>
        <v>825000</v>
      </c>
      <c r="L91" s="1219">
        <f>INDEX(cbalConsumerPartner6Budget,xxIndexTeam)</f>
        <v>849999.99999999977</v>
      </c>
    </row>
    <row r="92" spans="1:20" s="198" customFormat="1" ht="25.2" customHeight="1">
      <c r="J92" s="202"/>
      <c r="N92" s="202"/>
    </row>
    <row r="93" spans="1:20" s="198" customFormat="1" ht="25.2" customHeight="1">
      <c r="B93" s="203"/>
      <c r="J93" s="202"/>
      <c r="N93" s="202"/>
    </row>
    <row r="94" spans="1:20" s="198" customFormat="1" ht="25.2" customHeight="1">
      <c r="J94" s="204"/>
      <c r="K94" s="201"/>
      <c r="N94" s="202"/>
    </row>
    <row r="95" spans="1:20" s="198" customFormat="1" ht="25.2" customHeight="1">
      <c r="J95" s="204"/>
      <c r="K95" s="201"/>
      <c r="N95" s="202"/>
    </row>
    <row r="96" spans="1:20" s="198" customFormat="1" ht="25.2" customHeight="1">
      <c r="J96" s="202"/>
      <c r="N96" s="202"/>
    </row>
    <row r="97" spans="2:20" s="198" customFormat="1" ht="25.2" customHeight="1">
      <c r="B97" s="203"/>
      <c r="N97" s="202"/>
    </row>
    <row r="98" spans="2:20" s="198" customFormat="1" ht="25.2" customHeight="1">
      <c r="J98" s="204"/>
      <c r="K98" s="201"/>
      <c r="N98" s="202"/>
    </row>
    <row r="99" spans="2:20" s="198" customFormat="1" ht="25.2" customHeight="1">
      <c r="J99" s="204"/>
      <c r="K99" s="201"/>
      <c r="N99" s="202"/>
    </row>
    <row r="100" spans="2:20" s="198" customFormat="1" ht="25.2" customHeight="1">
      <c r="N100" s="202"/>
    </row>
    <row r="101" spans="2:20" s="198" customFormat="1" ht="25.2" customHeight="1">
      <c r="F101" s="201"/>
      <c r="G101" s="201"/>
      <c r="H101" s="201"/>
      <c r="I101" s="201"/>
      <c r="J101" s="201"/>
      <c r="M101" s="201"/>
      <c r="N101" s="201"/>
      <c r="O101" s="201"/>
      <c r="P101" s="201"/>
      <c r="Q101" s="201"/>
      <c r="R101" s="201"/>
      <c r="S101" s="201"/>
      <c r="T101" s="201"/>
    </row>
    <row r="102" spans="2:20" s="198" customFormat="1" ht="25.2" customHeight="1">
      <c r="J102" s="202"/>
      <c r="L102" s="277"/>
      <c r="N102" s="202"/>
    </row>
    <row r="103" spans="2:20" s="198" customFormat="1" ht="25.2" customHeight="1">
      <c r="B103" s="203"/>
      <c r="F103" s="212"/>
      <c r="J103" s="202"/>
      <c r="L103" s="272"/>
      <c r="N103" s="202"/>
    </row>
    <row r="104" spans="2:20" s="198" customFormat="1" ht="25.2" customHeight="1">
      <c r="J104" s="202"/>
      <c r="L104" s="272"/>
      <c r="N104" s="202"/>
    </row>
    <row r="105" spans="2:20" s="198" customFormat="1" ht="25.2" customHeight="1">
      <c r="B105" s="203"/>
      <c r="F105" s="212"/>
      <c r="J105" s="202"/>
      <c r="N105" s="202"/>
    </row>
    <row r="106" spans="2:20" s="198" customFormat="1" ht="25.2" customHeight="1">
      <c r="J106" s="202"/>
      <c r="N106" s="202"/>
    </row>
    <row r="107" spans="2:20" s="198" customFormat="1" ht="25.2" customHeight="1">
      <c r="B107" s="203"/>
      <c r="F107" s="212"/>
      <c r="J107" s="202"/>
      <c r="N107" s="202"/>
    </row>
    <row r="108" spans="2:20" s="198" customFormat="1" ht="25.2" customHeight="1">
      <c r="J108" s="202"/>
      <c r="N108" s="202"/>
    </row>
    <row r="109" spans="2:20" s="198" customFormat="1" ht="25.2" customHeight="1">
      <c r="B109" s="203"/>
      <c r="F109" s="212"/>
      <c r="N109" s="202"/>
    </row>
    <row r="110" spans="2:20" s="198" customFormat="1" ht="25.2" customHeight="1">
      <c r="N110" s="202"/>
    </row>
    <row r="111" spans="2:20" s="198" customFormat="1" ht="24.6">
      <c r="N111" s="202"/>
    </row>
    <row r="112" spans="2:20" s="198" customFormat="1" ht="24.6">
      <c r="N112" s="202"/>
    </row>
    <row r="113" spans="14:14" s="198" customFormat="1" ht="24.6">
      <c r="N113" s="202"/>
    </row>
    <row r="114" spans="14:14" s="198" customFormat="1" ht="24.6">
      <c r="N114" s="202"/>
    </row>
    <row r="115" spans="14:14" s="198" customFormat="1" ht="24.6">
      <c r="N115" s="202"/>
    </row>
    <row r="116" spans="14:14" s="198" customFormat="1" ht="24.6">
      <c r="N116" s="202"/>
    </row>
  </sheetData>
  <sheetProtection selectLockedCells="1"/>
  <mergeCells count="10">
    <mergeCell ref="D51:F51"/>
    <mergeCell ref="D42:F42"/>
    <mergeCell ref="D43:F43"/>
    <mergeCell ref="D44:F44"/>
    <mergeCell ref="D49:F49"/>
    <mergeCell ref="F2:F4"/>
    <mergeCell ref="F5:F7"/>
    <mergeCell ref="F8:F10"/>
    <mergeCell ref="A1:D12"/>
    <mergeCell ref="D50:F50"/>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4"/>
    <pageSetUpPr autoPageBreaks="0" fitToPage="1"/>
  </sheetPr>
  <dimension ref="A1:W61"/>
  <sheetViews>
    <sheetView zoomScaleNormal="100" workbookViewId="0">
      <selection sqref="A1:O5"/>
    </sheetView>
  </sheetViews>
  <sheetFormatPr defaultColWidth="8.81640625" defaultRowHeight="19.2"/>
  <cols>
    <col min="1" max="1" width="3.453125" style="195" customWidth="1"/>
    <col min="2" max="2" width="31.453125" style="195" customWidth="1"/>
    <col min="3" max="3" width="3.453125" style="195" customWidth="1"/>
    <col min="4" max="4" width="24.7265625" style="195" customWidth="1"/>
    <col min="5" max="5" width="3.453125" style="195" customWidth="1"/>
    <col min="6" max="6" width="26.453125" style="195" customWidth="1"/>
    <col min="7" max="7" width="3.453125" style="195" customWidth="1"/>
    <col min="8" max="8" width="26.453125" style="195" customWidth="1"/>
    <col min="9" max="9" width="3.453125" style="195" customWidth="1"/>
    <col min="10" max="10" width="26.453125" style="195" customWidth="1"/>
    <col min="11" max="11" width="3.453125" style="195" customWidth="1"/>
    <col min="12" max="12" width="26.453125" style="195" customWidth="1"/>
    <col min="13" max="13" width="3.453125" style="195" customWidth="1"/>
    <col min="14" max="14" width="26.453125" style="195" customWidth="1"/>
    <col min="15" max="15" width="3.453125" style="195" customWidth="1"/>
    <col min="16" max="16" width="26.453125" style="195" customWidth="1"/>
    <col min="17" max="17" width="3.453125" style="195" customWidth="1"/>
    <col min="18" max="18" width="24.7265625" style="195" customWidth="1"/>
    <col min="19" max="19" width="3.453125" style="195" customWidth="1"/>
    <col min="20" max="20" width="20.7265625" style="195" customWidth="1"/>
    <col min="21" max="16384" width="8.81640625" style="195"/>
  </cols>
  <sheetData>
    <row r="1" spans="1:23" s="197" customFormat="1" ht="37.950000000000003" customHeight="1">
      <c r="A1" s="1303" t="s">
        <v>2673</v>
      </c>
      <c r="B1" s="1303"/>
      <c r="C1" s="1303"/>
      <c r="D1" s="1303"/>
      <c r="E1" s="184"/>
      <c r="F1" s="185"/>
    </row>
    <row r="2" spans="1:23" s="186" customFormat="1" ht="34.950000000000003" customHeight="1">
      <c r="A2" s="1303"/>
      <c r="B2" s="1303"/>
      <c r="C2" s="1303"/>
      <c r="D2" s="1303"/>
      <c r="E2" s="196"/>
      <c r="F2" s="1091"/>
      <c r="G2" s="1092"/>
      <c r="H2" s="1092"/>
      <c r="I2" s="1092"/>
      <c r="J2" s="1093"/>
      <c r="K2" s="1093"/>
      <c r="L2" s="1093"/>
      <c r="M2" s="1093"/>
      <c r="N2" s="1093"/>
      <c r="O2" s="1093"/>
      <c r="T2" s="189"/>
    </row>
    <row r="3" spans="1:23" s="186" customFormat="1" ht="34.950000000000003" customHeight="1">
      <c r="A3" s="1303"/>
      <c r="B3" s="1303"/>
      <c r="C3" s="1303"/>
      <c r="D3" s="1303"/>
      <c r="E3" s="196"/>
      <c r="F3" s="236"/>
      <c r="G3" s="1094"/>
      <c r="H3" s="1094"/>
      <c r="I3" s="1094"/>
      <c r="J3" s="1094"/>
      <c r="K3" s="1094"/>
      <c r="L3" s="1094"/>
      <c r="M3" s="1094"/>
    </row>
    <row r="4" spans="1:23" s="186" customFormat="1" ht="34.950000000000003" customHeight="1">
      <c r="A4" s="1303"/>
      <c r="B4" s="1303"/>
      <c r="C4" s="1303"/>
      <c r="D4" s="1303"/>
      <c r="E4" s="196"/>
      <c r="F4" s="236"/>
      <c r="G4" s="1094"/>
      <c r="H4" s="1094"/>
      <c r="I4" s="1094"/>
      <c r="J4" s="1094"/>
      <c r="K4" s="1094"/>
      <c r="L4" s="1094"/>
      <c r="M4" s="1094"/>
    </row>
    <row r="5" spans="1:23" s="186" customFormat="1" ht="82.95" customHeight="1">
      <c r="A5" s="1303"/>
      <c r="B5" s="1303"/>
      <c r="C5" s="1303"/>
      <c r="D5" s="1303"/>
      <c r="E5" s="196"/>
      <c r="F5" s="516"/>
      <c r="G5" s="236"/>
      <c r="H5" s="1095"/>
      <c r="I5" s="236"/>
      <c r="J5" s="1095"/>
      <c r="K5" s="236"/>
      <c r="L5" s="1095"/>
      <c r="M5" s="1095"/>
      <c r="N5" s="1095"/>
      <c r="V5" s="186" t="s">
        <v>2682</v>
      </c>
      <c r="W5" s="186" t="s">
        <v>122</v>
      </c>
    </row>
    <row r="6" spans="1:23" s="198" customFormat="1" ht="24.6">
      <c r="N6" s="904"/>
    </row>
    <row r="7" spans="1:23" s="198" customFormat="1" ht="24.6">
      <c r="F7" s="208" t="str">
        <f>nmProd1</f>
        <v>Productivity &amp; Business</v>
      </c>
      <c r="G7" s="208"/>
      <c r="H7" s="208" t="str">
        <f>nmProd2</f>
        <v>Intelligent Cloud</v>
      </c>
      <c r="I7" s="208"/>
      <c r="J7" s="208" t="str">
        <f>nmProd3</f>
        <v>Personal Computing</v>
      </c>
      <c r="K7" s="208"/>
      <c r="L7" s="208"/>
      <c r="M7" s="208"/>
      <c r="N7" s="208" t="s">
        <v>50</v>
      </c>
    </row>
    <row r="8" spans="1:23" s="198" customFormat="1" ht="24.6">
      <c r="J8" s="202"/>
      <c r="N8" s="200"/>
    </row>
    <row r="9" spans="1:23" s="198" customFormat="1" ht="24.6">
      <c r="B9" s="231" t="s">
        <v>117</v>
      </c>
      <c r="J9" s="202"/>
      <c r="N9" s="200"/>
    </row>
    <row r="10" spans="1:23" s="198" customFormat="1" ht="24.6">
      <c r="B10" s="902" t="str">
        <f>nmSeg1</f>
        <v>Enterprise</v>
      </c>
      <c r="F10" s="901">
        <f>INDEX(finPNLProd1Seg1TotalRev,xxIndexTeam)/1000</f>
        <v>133103.1863000626</v>
      </c>
      <c r="G10" s="200"/>
      <c r="H10" s="901">
        <f>INDEX(finPNLProd2Seg1TotalRev,xxIndexTeam)/1000</f>
        <v>143442.38426432651</v>
      </c>
      <c r="I10" s="200"/>
      <c r="J10" s="901">
        <f>INDEX(finPNLProd3Seg1TotalRev,xxIndexTeam)/1000</f>
        <v>117995.01120000002</v>
      </c>
      <c r="K10" s="200"/>
      <c r="L10" s="200"/>
      <c r="M10" s="200"/>
      <c r="N10" s="901">
        <f>SUM(F10:J10)</f>
        <v>394540.58176438912</v>
      </c>
      <c r="O10" s="200"/>
    </row>
    <row r="11" spans="1:23" ht="24.6">
      <c r="B11" s="902" t="str">
        <f>nmSeg2</f>
        <v>SMC</v>
      </c>
      <c r="F11" s="901">
        <f>INDEX(finPNLProd1Seg2TotalRev,xxIndexTeam)/1000</f>
        <v>102474.12306459779</v>
      </c>
      <c r="G11" s="905"/>
      <c r="H11" s="901">
        <f>INDEX(finPNLProd2Seg2TotalRev,xxIndexTeam)/1000</f>
        <v>192811.8824066736</v>
      </c>
      <c r="I11" s="905"/>
      <c r="J11" s="901">
        <f>INDEX(finPNLProd3Seg2TotalRev,xxIndexTeam)/1000</f>
        <v>98329.017600000021</v>
      </c>
      <c r="K11" s="905"/>
      <c r="L11" s="905"/>
      <c r="M11" s="905"/>
      <c r="N11" s="901">
        <f>SUM(F11:J11)</f>
        <v>393615.02307127143</v>
      </c>
      <c r="O11" s="905"/>
    </row>
    <row r="12" spans="1:23" ht="24.6">
      <c r="B12" s="902" t="str">
        <f>nmSeg3</f>
        <v>Consumer</v>
      </c>
      <c r="F12" s="901">
        <f>INDEX(finPNLProd1Seg3TotalRev,xxIndexTeam)/1000</f>
        <v>117835.66039367332</v>
      </c>
      <c r="G12" s="905"/>
      <c r="H12" s="901"/>
      <c r="I12" s="905"/>
      <c r="J12" s="901">
        <f>INDEX(finPNLProd3Seg3TotalRev,xxIndexTeam)/1000</f>
        <v>176992.67520000006</v>
      </c>
      <c r="K12" s="905"/>
      <c r="L12" s="905"/>
      <c r="M12" s="905"/>
      <c r="N12" s="901">
        <f>SUM(F12:J12)</f>
        <v>294828.3355936734</v>
      </c>
      <c r="O12" s="905"/>
    </row>
    <row r="13" spans="1:23" ht="24.6">
      <c r="B13" s="231" t="s">
        <v>50</v>
      </c>
      <c r="F13" s="903">
        <f>INDEX(finPNLTotalProd1Rev,xxIndexTeam)/1000</f>
        <v>353412.9697583337</v>
      </c>
      <c r="G13" s="905"/>
      <c r="H13" s="903">
        <f>INDEX(finPNLTotalProd2Rev,xxIndexTeam)/1000</f>
        <v>336254.26667100011</v>
      </c>
      <c r="I13" s="905"/>
      <c r="J13" s="903">
        <f>INDEX(finPNLTotalProd3Rev,xxIndexTeam)/1000</f>
        <v>393316.70400000014</v>
      </c>
      <c r="K13" s="905"/>
      <c r="L13" s="905"/>
      <c r="M13" s="905"/>
      <c r="N13" s="903">
        <f>SUM(F13:J13)</f>
        <v>1082983.9404293341</v>
      </c>
      <c r="O13" s="905"/>
    </row>
    <row r="14" spans="1:23">
      <c r="F14" s="905"/>
      <c r="G14" s="905"/>
      <c r="H14" s="905"/>
      <c r="I14" s="905"/>
      <c r="J14" s="905"/>
      <c r="K14" s="905"/>
      <c r="L14" s="905"/>
      <c r="M14" s="905"/>
      <c r="N14" s="905"/>
      <c r="O14" s="905"/>
    </row>
    <row r="15" spans="1:23" s="198" customFormat="1" ht="24.6">
      <c r="B15" s="231" t="s">
        <v>2674</v>
      </c>
      <c r="F15" s="200"/>
      <c r="G15" s="200"/>
      <c r="H15" s="200"/>
      <c r="I15" s="200"/>
      <c r="J15" s="200"/>
      <c r="K15" s="200"/>
      <c r="L15" s="200"/>
      <c r="M15" s="200"/>
      <c r="N15" s="200"/>
      <c r="O15" s="200"/>
    </row>
    <row r="16" spans="1:23" s="198" customFormat="1" ht="24.6">
      <c r="B16" s="902" t="str">
        <f>nmSeg1</f>
        <v>Enterprise</v>
      </c>
      <c r="F16" s="901">
        <f>INDEX(finPNLProd1Seg1TotalCOGs,xxIndexTeam)/1000</f>
        <v>22619.823863429745</v>
      </c>
      <c r="G16" s="200"/>
      <c r="H16" s="901">
        <f>INDEX(finPNLProd2Seg1TotalCOGs,xxIndexTeam)/1000</f>
        <v>31461.966001724846</v>
      </c>
      <c r="I16" s="200"/>
      <c r="J16" s="901">
        <f>INDEX(finPNLProd3Seg1TotalCOGs,xxIndexTeam)/1000</f>
        <v>64897.256160000004</v>
      </c>
      <c r="K16" s="200"/>
      <c r="L16" s="200"/>
      <c r="M16" s="200"/>
      <c r="N16" s="901">
        <f>SUM(F16:J16)</f>
        <v>118979.04602515459</v>
      </c>
      <c r="O16" s="200"/>
    </row>
    <row r="17" spans="2:15" ht="24.6">
      <c r="B17" s="902" t="str">
        <f>nmSeg2</f>
        <v>SMC</v>
      </c>
      <c r="F17" s="901">
        <f>INDEX(finPNLProd1Seg2TotalCOGs,xxIndexTeam)/1000</f>
        <v>20226.608214062824</v>
      </c>
      <c r="G17" s="905"/>
      <c r="H17" s="901">
        <f>INDEX(finPNLProd2Seg2TotalCOGs,xxIndexTeam)/1000</f>
        <v>46897.310223600594</v>
      </c>
      <c r="I17" s="905"/>
      <c r="J17" s="901">
        <f>INDEX(finPNLProd3Seg2TotalCOGs,xxIndexTeam)/1000</f>
        <v>54080.959680000007</v>
      </c>
      <c r="K17" s="905"/>
      <c r="L17" s="905"/>
      <c r="M17" s="905"/>
      <c r="N17" s="901">
        <f>SUM(F17:J17)</f>
        <v>121204.87811766344</v>
      </c>
      <c r="O17" s="905"/>
    </row>
    <row r="18" spans="2:15" ht="24.6">
      <c r="B18" s="902" t="str">
        <f>nmSeg3</f>
        <v>Consumer</v>
      </c>
      <c r="F18" s="901">
        <f>INDEX(finPNLProd1Seg3TotalCOGs,xxIndexTeam)/1000</f>
        <v>19920.750631936204</v>
      </c>
      <c r="G18" s="905"/>
      <c r="H18" s="901"/>
      <c r="I18" s="905"/>
      <c r="J18" s="901">
        <f>INDEX(finPNLProd3Seg3TotalCOGs,xxIndexTeam)/1000</f>
        <v>97345.97136000001</v>
      </c>
      <c r="K18" s="905"/>
      <c r="L18" s="905"/>
      <c r="M18" s="905"/>
      <c r="N18" s="901">
        <f>SUM(F18:J18)</f>
        <v>117266.72199193621</v>
      </c>
      <c r="O18" s="905"/>
    </row>
    <row r="19" spans="2:15" ht="24.6">
      <c r="B19" s="231" t="s">
        <v>50</v>
      </c>
      <c r="F19" s="903">
        <f>SUM(F16:F18)</f>
        <v>62767.182709428773</v>
      </c>
      <c r="G19" s="905"/>
      <c r="H19" s="903">
        <f>SUM(H16:H18)</f>
        <v>78359.276225325448</v>
      </c>
      <c r="I19" s="905"/>
      <c r="J19" s="903">
        <f>SUM(J16:J18)</f>
        <v>216324.18720000004</v>
      </c>
      <c r="K19" s="905"/>
      <c r="L19" s="905"/>
      <c r="M19" s="905"/>
      <c r="N19" s="903">
        <f>SUM(N16:N18)</f>
        <v>357450.64613475424</v>
      </c>
      <c r="O19" s="905"/>
    </row>
    <row r="20" spans="2:15">
      <c r="F20" s="905"/>
      <c r="G20" s="905"/>
      <c r="H20" s="905"/>
      <c r="I20" s="905"/>
      <c r="J20" s="905"/>
      <c r="K20" s="905"/>
      <c r="L20" s="905"/>
      <c r="M20" s="905"/>
      <c r="N20" s="905"/>
      <c r="O20" s="905"/>
    </row>
    <row r="21" spans="2:15" s="198" customFormat="1" ht="24.6">
      <c r="B21" s="231" t="s">
        <v>206</v>
      </c>
      <c r="F21" s="200"/>
      <c r="G21" s="200"/>
      <c r="H21" s="200"/>
      <c r="I21" s="200"/>
      <c r="J21" s="200"/>
      <c r="K21" s="200"/>
      <c r="L21" s="200"/>
      <c r="M21" s="200"/>
      <c r="N21" s="200"/>
      <c r="O21" s="200"/>
    </row>
    <row r="22" spans="2:15" s="198" customFormat="1" ht="24.6">
      <c r="B22" s="902" t="str">
        <f>nmSeg1</f>
        <v>Enterprise</v>
      </c>
      <c r="F22" s="901">
        <f>INDEX(finPNLProd1Seg1GrossProfit,xxIndexTeam)/1000</f>
        <v>110483.36243663287</v>
      </c>
      <c r="G22" s="200"/>
      <c r="H22" s="901">
        <f>INDEX(finPNLProd2Seg1GrossProfit,xxIndexTeam)/1000</f>
        <v>111980.41826260167</v>
      </c>
      <c r="I22" s="200"/>
      <c r="J22" s="901">
        <f>INDEX(finPNLProd3Seg1GrossProfit,xxIndexTeam)/1000</f>
        <v>53097.755040000011</v>
      </c>
      <c r="K22" s="200"/>
      <c r="L22" s="200"/>
      <c r="M22" s="200"/>
      <c r="N22" s="901">
        <f>SUM(F22:J22)</f>
        <v>275561.53573923453</v>
      </c>
      <c r="O22" s="200"/>
    </row>
    <row r="23" spans="2:15" ht="24.6">
      <c r="B23" s="902" t="str">
        <f>nmSeg2</f>
        <v>SMC</v>
      </c>
      <c r="F23" s="901">
        <f>INDEX(finPNLProd1Seg2GrossProfit,xxIndexTeam)/1000</f>
        <v>82247.514850534964</v>
      </c>
      <c r="G23" s="905"/>
      <c r="H23" s="901">
        <f>INDEX(finPNLProd2Seg2GrossProfit,xxIndexTeam)/1000</f>
        <v>145914.572183073</v>
      </c>
      <c r="I23" s="905"/>
      <c r="J23" s="901">
        <f>INDEX(finPNLProd3Seg2GrossProfit,xxIndexTeam)/1000</f>
        <v>44248.057920000014</v>
      </c>
      <c r="K23" s="905"/>
      <c r="L23" s="905"/>
      <c r="M23" s="905"/>
      <c r="N23" s="901">
        <f>SUM(F23:J23)</f>
        <v>272410.14495360799</v>
      </c>
      <c r="O23" s="905"/>
    </row>
    <row r="24" spans="2:15" ht="24.6">
      <c r="B24" s="902" t="str">
        <f>nmSeg3</f>
        <v>Consumer</v>
      </c>
      <c r="F24" s="901">
        <f>INDEX(finPNLProd1Seg3GrossProfit,xxIndexTeam)/1000</f>
        <v>97914.909761737115</v>
      </c>
      <c r="G24" s="905"/>
      <c r="H24" s="901"/>
      <c r="I24" s="905"/>
      <c r="J24" s="901">
        <f>INDEX(finPNLProd3Seg3GrossProfit,xxIndexTeam)/1000</f>
        <v>79646.703840000031</v>
      </c>
      <c r="K24" s="905"/>
      <c r="L24" s="905"/>
      <c r="M24" s="905"/>
      <c r="N24" s="901">
        <f>SUM(F24:J24)</f>
        <v>177561.61360173713</v>
      </c>
      <c r="O24" s="905"/>
    </row>
    <row r="25" spans="2:15" ht="24.6">
      <c r="B25" s="902"/>
      <c r="F25" s="901"/>
      <c r="G25" s="905"/>
      <c r="H25" s="901"/>
      <c r="I25" s="905"/>
      <c r="J25" s="901"/>
      <c r="K25" s="905"/>
      <c r="L25" s="905"/>
      <c r="M25" s="905"/>
      <c r="N25" s="901"/>
      <c r="O25" s="905"/>
    </row>
    <row r="26" spans="2:15" ht="24.6">
      <c r="B26" s="231" t="s">
        <v>1642</v>
      </c>
      <c r="F26" s="903">
        <f>SUM(F22:F24)</f>
        <v>290645.78704890492</v>
      </c>
      <c r="G26" s="905"/>
      <c r="H26" s="903">
        <f>SUM(H22:H24)</f>
        <v>257894.99044567469</v>
      </c>
      <c r="I26" s="905"/>
      <c r="J26" s="903">
        <f>SUM(J22:J24)</f>
        <v>176992.51680000004</v>
      </c>
      <c r="K26" s="905"/>
      <c r="L26" s="905"/>
      <c r="M26" s="905"/>
      <c r="N26" s="903">
        <f>SUM(N22:N24)</f>
        <v>725533.29429457965</v>
      </c>
      <c r="O26" s="905"/>
    </row>
    <row r="27" spans="2:15" ht="24.6">
      <c r="B27" s="231" t="s">
        <v>1636</v>
      </c>
      <c r="F27" s="212">
        <f>INDEX(finPNLTotalProd1GrossMargin,xxIndexTeam)</f>
        <v>0.82239705930331486</v>
      </c>
      <c r="G27" s="931"/>
      <c r="H27" s="212">
        <f>INDEX(finPNLTotalProd2GrossMargin,xxIndexTeam)</f>
        <v>0.76696421728383846</v>
      </c>
      <c r="I27" s="931"/>
      <c r="J27" s="212">
        <f>INDEX(finPNLTotalProd3GrossMargin,xxIndexTeam)</f>
        <v>0.45000000000000007</v>
      </c>
      <c r="K27" s="931"/>
      <c r="L27" s="931"/>
      <c r="M27" s="931"/>
      <c r="N27" s="212">
        <f>N26/$N$13</f>
        <v>0.66993910732134399</v>
      </c>
      <c r="O27" s="931"/>
    </row>
    <row r="28" spans="2:15">
      <c r="F28" s="905"/>
      <c r="G28" s="905"/>
      <c r="H28" s="905"/>
      <c r="I28" s="905"/>
      <c r="J28" s="905"/>
      <c r="K28" s="905"/>
      <c r="L28" s="905"/>
      <c r="M28" s="905"/>
      <c r="N28" s="905"/>
      <c r="O28" s="905"/>
    </row>
    <row r="29" spans="2:15" ht="24.6">
      <c r="B29" s="231" t="s">
        <v>2675</v>
      </c>
      <c r="F29" s="905"/>
      <c r="G29" s="905"/>
      <c r="H29" s="905"/>
      <c r="I29" s="905"/>
      <c r="J29" s="905"/>
      <c r="K29" s="905"/>
      <c r="L29" s="905"/>
      <c r="M29" s="905"/>
      <c r="N29" s="905"/>
      <c r="O29" s="905"/>
    </row>
    <row r="30" spans="2:15" ht="24.6">
      <c r="B30" s="902" t="s">
        <v>1583</v>
      </c>
      <c r="F30" s="905"/>
      <c r="G30" s="905"/>
      <c r="H30" s="905"/>
      <c r="I30" s="905"/>
      <c r="J30" s="905"/>
      <c r="K30" s="905"/>
      <c r="L30" s="905"/>
      <c r="M30" s="905"/>
      <c r="N30" s="901">
        <f>INDEX(finPNLMarketingExp,xxIndexTeam)/1000</f>
        <v>1500</v>
      </c>
      <c r="O30" s="905"/>
    </row>
    <row r="31" spans="2:15" ht="24.6">
      <c r="B31" s="902" t="s">
        <v>1098</v>
      </c>
      <c r="F31" s="905"/>
      <c r="G31" s="905"/>
      <c r="H31" s="905"/>
      <c r="I31" s="905"/>
      <c r="J31" s="905"/>
      <c r="K31" s="905"/>
      <c r="L31" s="905"/>
      <c r="M31" s="905"/>
      <c r="N31" s="901">
        <f>INDEX(finPNLPartnerActivityExp,xxIndexTeam)/1000</f>
        <v>5000</v>
      </c>
      <c r="O31" s="905"/>
    </row>
    <row r="32" spans="2:15" ht="24.6">
      <c r="B32" s="902" t="s">
        <v>1073</v>
      </c>
      <c r="F32" s="905"/>
      <c r="G32" s="905"/>
      <c r="H32" s="905"/>
      <c r="I32" s="905"/>
      <c r="J32" s="905"/>
      <c r="K32" s="905"/>
      <c r="L32" s="905"/>
      <c r="M32" s="905"/>
      <c r="N32" s="901">
        <f>INDEX(finPNLDirectSalesSalaryExp,xxIndexTeam)/1000</f>
        <v>44000</v>
      </c>
      <c r="O32" s="905"/>
    </row>
    <row r="33" spans="2:15" ht="24.6">
      <c r="B33" s="902" t="s">
        <v>1074</v>
      </c>
      <c r="F33" s="905"/>
      <c r="G33" s="905"/>
      <c r="H33" s="905"/>
      <c r="I33" s="905"/>
      <c r="J33" s="905"/>
      <c r="K33" s="905"/>
      <c r="L33" s="905"/>
      <c r="M33" s="905"/>
      <c r="N33" s="901">
        <f>INDEX(finPNLInsideSalesSalaryExp,xxIndexTeam)/1000</f>
        <v>17200</v>
      </c>
      <c r="O33" s="905"/>
    </row>
    <row r="34" spans="2:15" ht="24.6">
      <c r="B34" s="902" t="s">
        <v>1588</v>
      </c>
      <c r="F34" s="905"/>
      <c r="G34" s="905"/>
      <c r="H34" s="905"/>
      <c r="I34" s="905"/>
      <c r="J34" s="905"/>
      <c r="K34" s="905"/>
      <c r="L34" s="905"/>
      <c r="M34" s="905"/>
      <c r="N34" s="901">
        <f>INDEX(finPNLPartnerSalaryExp,xxIndexTeam)/1000</f>
        <v>0</v>
      </c>
      <c r="O34" s="905"/>
    </row>
    <row r="35" spans="2:15" ht="24.6">
      <c r="B35" s="231" t="s">
        <v>2676</v>
      </c>
      <c r="F35" s="905"/>
      <c r="G35" s="905"/>
      <c r="H35" s="905"/>
      <c r="I35" s="905"/>
      <c r="J35" s="905"/>
      <c r="K35" s="905"/>
      <c r="L35" s="905"/>
      <c r="M35" s="905"/>
      <c r="N35" s="903">
        <f>SUM(N30:N34)</f>
        <v>67700</v>
      </c>
      <c r="O35" s="905"/>
    </row>
    <row r="36" spans="2:15" ht="24.6">
      <c r="B36" s="231" t="s">
        <v>2677</v>
      </c>
      <c r="F36" s="212"/>
      <c r="G36" s="931"/>
      <c r="H36" s="212"/>
      <c r="I36" s="931"/>
      <c r="J36" s="212"/>
      <c r="K36" s="931"/>
      <c r="L36" s="931"/>
      <c r="M36" s="931"/>
      <c r="N36" s="212">
        <f>N35/$N$13</f>
        <v>6.2512468996688234E-2</v>
      </c>
      <c r="O36" s="931"/>
    </row>
    <row r="37" spans="2:15">
      <c r="F37" s="905"/>
      <c r="G37" s="905"/>
      <c r="H37" s="905"/>
      <c r="I37" s="905"/>
      <c r="J37" s="905"/>
      <c r="K37" s="905"/>
      <c r="L37" s="905"/>
      <c r="M37" s="905"/>
      <c r="N37" s="905"/>
      <c r="O37" s="905"/>
    </row>
    <row r="38" spans="2:15" ht="24.6">
      <c r="B38" s="231" t="s">
        <v>2243</v>
      </c>
      <c r="F38" s="905"/>
      <c r="G38" s="905"/>
      <c r="H38" s="905"/>
      <c r="I38" s="905"/>
      <c r="J38" s="905"/>
      <c r="K38" s="905"/>
      <c r="L38" s="905"/>
      <c r="M38" s="905"/>
      <c r="N38" s="905"/>
      <c r="O38" s="905"/>
    </row>
    <row r="39" spans="2:15" ht="24.6">
      <c r="B39" s="902" t="s">
        <v>457</v>
      </c>
      <c r="F39" s="905"/>
      <c r="G39" s="905"/>
      <c r="H39" s="905"/>
      <c r="I39" s="905"/>
      <c r="J39" s="905"/>
      <c r="K39" s="905"/>
      <c r="L39" s="905"/>
      <c r="M39" s="905"/>
      <c r="N39" s="901">
        <f>INDEX(finPNLTalentDevExp,xxIndexTeam)/1000</f>
        <v>0</v>
      </c>
      <c r="O39" s="905"/>
    </row>
    <row r="40" spans="2:15" ht="24.6">
      <c r="B40" s="902" t="s">
        <v>1082</v>
      </c>
      <c r="F40" s="905"/>
      <c r="G40" s="905"/>
      <c r="H40" s="905"/>
      <c r="I40" s="905"/>
      <c r="J40" s="905"/>
      <c r="K40" s="905"/>
      <c r="L40" s="905"/>
      <c r="M40" s="905"/>
      <c r="N40" s="901">
        <f>INDEX(finPNLOpsSalaryExp,xxIndexTeam)/1000</f>
        <v>2550</v>
      </c>
      <c r="O40" s="905"/>
    </row>
    <row r="41" spans="2:15" ht="24.6">
      <c r="B41" s="902" t="s">
        <v>1080</v>
      </c>
      <c r="F41" s="905"/>
      <c r="G41" s="905"/>
      <c r="H41" s="905"/>
      <c r="I41" s="905"/>
      <c r="J41" s="905"/>
      <c r="K41" s="905"/>
      <c r="L41" s="905"/>
      <c r="M41" s="905"/>
      <c r="N41" s="901">
        <f>INDEX(finPNLUnallocatedSalaryExp,xxIndexTeam)/1000</f>
        <v>52500</v>
      </c>
      <c r="O41" s="905"/>
    </row>
    <row r="42" spans="2:15" ht="24.6">
      <c r="B42" s="902" t="s">
        <v>2678</v>
      </c>
      <c r="F42" s="905"/>
      <c r="G42" s="905"/>
      <c r="H42" s="905"/>
      <c r="I42" s="905"/>
      <c r="J42" s="905"/>
      <c r="K42" s="905"/>
      <c r="L42" s="905"/>
      <c r="M42" s="905"/>
      <c r="N42" s="901">
        <f>INDEX(finPNLGAExp,xxIndexTeam)/1000</f>
        <v>0</v>
      </c>
      <c r="O42" s="905"/>
    </row>
    <row r="43" spans="2:15" ht="24.6">
      <c r="B43" s="231" t="s">
        <v>2679</v>
      </c>
      <c r="F43" s="905"/>
      <c r="G43" s="905"/>
      <c r="H43" s="905"/>
      <c r="I43" s="905"/>
      <c r="J43" s="905"/>
      <c r="K43" s="905"/>
      <c r="L43" s="905"/>
      <c r="M43" s="905"/>
      <c r="N43" s="903">
        <f>SUM(N39:N42)</f>
        <v>55050</v>
      </c>
      <c r="O43" s="905"/>
    </row>
    <row r="44" spans="2:15" ht="24.6">
      <c r="B44" s="231" t="s">
        <v>2677</v>
      </c>
      <c r="F44" s="212"/>
      <c r="G44" s="931"/>
      <c r="H44" s="212"/>
      <c r="I44" s="931"/>
      <c r="J44" s="212"/>
      <c r="K44" s="931"/>
      <c r="L44" s="931"/>
      <c r="M44" s="931"/>
      <c r="N44" s="212">
        <f>N43/$N$13</f>
        <v>5.0831778704101729E-2</v>
      </c>
      <c r="O44" s="931"/>
    </row>
    <row r="45" spans="2:15">
      <c r="F45" s="905"/>
      <c r="G45" s="905"/>
      <c r="H45" s="905"/>
      <c r="I45" s="905"/>
      <c r="J45" s="905"/>
      <c r="K45" s="905"/>
      <c r="L45" s="905"/>
      <c r="M45" s="905"/>
      <c r="N45" s="905"/>
      <c r="O45" s="905"/>
    </row>
    <row r="46" spans="2:15" ht="24.6">
      <c r="B46" s="231" t="s">
        <v>2680</v>
      </c>
      <c r="F46" s="903"/>
      <c r="G46" s="905"/>
      <c r="H46" s="903"/>
      <c r="I46" s="905"/>
      <c r="J46" s="903"/>
      <c r="K46" s="905"/>
      <c r="L46" s="905"/>
      <c r="M46" s="905"/>
      <c r="N46" s="903">
        <f>INDEX(finPNLTotalOpsProfit,xxIndexTeam)/1000</f>
        <v>582783.29429457977</v>
      </c>
      <c r="O46" s="905"/>
    </row>
    <row r="47" spans="2:15" ht="24.6">
      <c r="B47" s="231" t="s">
        <v>2681</v>
      </c>
      <c r="F47" s="212"/>
      <c r="G47" s="931"/>
      <c r="H47" s="212"/>
      <c r="I47" s="931"/>
      <c r="J47" s="212"/>
      <c r="K47" s="931"/>
      <c r="L47" s="931"/>
      <c r="M47" s="931"/>
      <c r="N47" s="212">
        <f>N46/$N$13</f>
        <v>0.53812736508682057</v>
      </c>
      <c r="O47" s="931"/>
    </row>
    <row r="48" spans="2:15">
      <c r="F48" s="905"/>
      <c r="G48" s="905"/>
      <c r="H48" s="905"/>
      <c r="I48" s="905"/>
      <c r="J48" s="905"/>
      <c r="K48" s="905"/>
      <c r="L48" s="905"/>
      <c r="M48" s="905"/>
      <c r="N48" s="905"/>
      <c r="O48" s="905"/>
    </row>
    <row r="49" spans="6:15">
      <c r="F49" s="905"/>
      <c r="G49" s="905"/>
      <c r="H49" s="905"/>
      <c r="I49" s="905"/>
      <c r="J49" s="905"/>
      <c r="K49" s="905"/>
      <c r="L49" s="905"/>
      <c r="M49" s="905"/>
      <c r="N49" s="905"/>
      <c r="O49" s="905"/>
    </row>
    <row r="50" spans="6:15">
      <c r="F50" s="905"/>
      <c r="G50" s="905"/>
      <c r="H50" s="905"/>
      <c r="I50" s="905"/>
      <c r="J50" s="905"/>
      <c r="K50" s="905"/>
      <c r="L50" s="905"/>
      <c r="M50" s="905"/>
      <c r="N50" s="905"/>
      <c r="O50" s="905"/>
    </row>
    <row r="51" spans="6:15">
      <c r="F51" s="905"/>
      <c r="G51" s="905"/>
      <c r="H51" s="905"/>
      <c r="I51" s="905"/>
      <c r="J51" s="905"/>
      <c r="K51" s="905"/>
      <c r="L51" s="905"/>
      <c r="M51" s="905"/>
      <c r="N51" s="905"/>
      <c r="O51" s="905"/>
    </row>
    <row r="52" spans="6:15">
      <c r="F52" s="905"/>
      <c r="G52" s="905"/>
      <c r="H52" s="905"/>
      <c r="I52" s="905"/>
      <c r="J52" s="905"/>
      <c r="K52" s="905"/>
      <c r="L52" s="905"/>
      <c r="M52" s="905"/>
      <c r="N52" s="905"/>
      <c r="O52" s="905"/>
    </row>
    <row r="53" spans="6:15">
      <c r="F53" s="905"/>
      <c r="G53" s="905"/>
      <c r="H53" s="905"/>
      <c r="I53" s="905"/>
      <c r="J53" s="905"/>
      <c r="K53" s="905"/>
      <c r="L53" s="905"/>
      <c r="M53" s="905"/>
      <c r="N53" s="905"/>
      <c r="O53" s="905"/>
    </row>
    <row r="54" spans="6:15">
      <c r="F54" s="905"/>
      <c r="G54" s="905"/>
      <c r="H54" s="905"/>
      <c r="I54" s="905"/>
      <c r="J54" s="905"/>
      <c r="K54" s="905"/>
      <c r="L54" s="905"/>
      <c r="M54" s="905"/>
      <c r="N54" s="905"/>
      <c r="O54" s="905"/>
    </row>
    <row r="55" spans="6:15">
      <c r="F55" s="905"/>
      <c r="G55" s="905"/>
      <c r="H55" s="905"/>
      <c r="I55" s="905"/>
      <c r="J55" s="905"/>
      <c r="K55" s="905"/>
      <c r="L55" s="905"/>
      <c r="M55" s="905"/>
      <c r="N55" s="905"/>
      <c r="O55" s="905"/>
    </row>
    <row r="56" spans="6:15">
      <c r="F56" s="905"/>
      <c r="G56" s="905"/>
      <c r="H56" s="905"/>
      <c r="I56" s="905"/>
      <c r="J56" s="905"/>
      <c r="K56" s="905"/>
      <c r="L56" s="905"/>
      <c r="M56" s="905"/>
      <c r="N56" s="905"/>
      <c r="O56" s="905"/>
    </row>
    <row r="57" spans="6:15">
      <c r="F57" s="905"/>
      <c r="G57" s="905"/>
      <c r="H57" s="905"/>
      <c r="I57" s="905"/>
      <c r="J57" s="905"/>
      <c r="K57" s="905"/>
      <c r="L57" s="905"/>
      <c r="M57" s="905"/>
      <c r="N57" s="905"/>
      <c r="O57" s="905"/>
    </row>
    <row r="58" spans="6:15">
      <c r="F58" s="905"/>
      <c r="G58" s="905"/>
      <c r="H58" s="905"/>
      <c r="I58" s="905"/>
      <c r="J58" s="905"/>
      <c r="K58" s="905"/>
      <c r="L58" s="905"/>
      <c r="M58" s="905"/>
      <c r="N58" s="905"/>
      <c r="O58" s="905"/>
    </row>
    <row r="59" spans="6:15">
      <c r="F59" s="905"/>
      <c r="G59" s="905"/>
      <c r="H59" s="905"/>
      <c r="I59" s="905"/>
      <c r="J59" s="905"/>
      <c r="K59" s="905"/>
      <c r="L59" s="905"/>
      <c r="M59" s="905"/>
      <c r="N59" s="905"/>
      <c r="O59" s="905"/>
    </row>
    <row r="60" spans="6:15">
      <c r="F60" s="905"/>
      <c r="G60" s="905"/>
      <c r="H60" s="905"/>
      <c r="I60" s="905"/>
      <c r="J60" s="905"/>
      <c r="K60" s="905"/>
      <c r="L60" s="905"/>
      <c r="M60" s="905"/>
      <c r="N60" s="905"/>
      <c r="O60" s="905"/>
    </row>
    <row r="61" spans="6:15">
      <c r="F61" s="905"/>
      <c r="G61" s="905"/>
      <c r="H61" s="905"/>
      <c r="I61" s="905"/>
      <c r="J61" s="905"/>
      <c r="K61" s="905"/>
      <c r="L61" s="905"/>
      <c r="M61" s="905"/>
      <c r="N61" s="905"/>
      <c r="O61" s="905"/>
    </row>
  </sheetData>
  <sheetProtection selectLockedCells="1"/>
  <mergeCells count="1">
    <mergeCell ref="A1:D5"/>
  </mergeCells>
  <printOptions horizontalCentered="1"/>
  <pageMargins left="0.7" right="0.7" top="0.75" bottom="0.75" header="0.3" footer="0.3"/>
  <pageSetup paperSize="9"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sheetPr>
  <dimension ref="A1:U292"/>
  <sheetViews>
    <sheetView topLeftCell="I164" workbookViewId="0">
      <selection activeCell="Q187" sqref="Q187"/>
    </sheetView>
  </sheetViews>
  <sheetFormatPr defaultRowHeight="13.8"/>
  <cols>
    <col min="1" max="2" width="4.7265625" customWidth="1"/>
    <col min="3" max="3" width="18.1796875" customWidth="1"/>
    <col min="5" max="8" width="19.36328125" style="19" bestFit="1" customWidth="1"/>
    <col min="9" max="10" width="15.453125" style="19" customWidth="1"/>
    <col min="11" max="11" width="21" style="19" customWidth="1"/>
    <col min="12" max="14" width="15.453125" style="19" customWidth="1"/>
    <col min="15" max="15" width="31.90625" bestFit="1" customWidth="1"/>
    <col min="17" max="17" width="14.453125" style="922" bestFit="1" customWidth="1"/>
  </cols>
  <sheetData>
    <row r="1" spans="1:21" s="874" customFormat="1" ht="16.2">
      <c r="A1" s="873" t="s">
        <v>105</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2653</v>
      </c>
      <c r="P2" s="875"/>
      <c r="Q2" s="875"/>
      <c r="R2" s="875"/>
      <c r="S2" s="875"/>
      <c r="U2" s="873"/>
    </row>
    <row r="3" spans="1:21" s="29" customFormat="1">
      <c r="E3" s="37" t="s">
        <v>2752</v>
      </c>
      <c r="F3" s="37" t="s">
        <v>2753</v>
      </c>
      <c r="G3" s="37" t="s">
        <v>2754</v>
      </c>
      <c r="H3" s="37" t="s">
        <v>2755</v>
      </c>
      <c r="I3" s="37" t="s">
        <v>2761</v>
      </c>
      <c r="J3" s="37" t="s">
        <v>2760</v>
      </c>
      <c r="K3" s="37" t="s">
        <v>2759</v>
      </c>
      <c r="L3" s="37" t="s">
        <v>2758</v>
      </c>
      <c r="M3" s="37" t="s">
        <v>2757</v>
      </c>
      <c r="N3" s="37" t="s">
        <v>2756</v>
      </c>
      <c r="O3" s="29" t="s">
        <v>107</v>
      </c>
      <c r="Q3" s="913"/>
    </row>
    <row r="4" spans="1:21" s="11" customFormat="1">
      <c r="A4" s="11" t="s">
        <v>105</v>
      </c>
      <c r="E4" s="15" t="s">
        <v>7</v>
      </c>
      <c r="F4" s="15" t="s">
        <v>8</v>
      </c>
      <c r="G4" s="15" t="s">
        <v>9</v>
      </c>
      <c r="H4" s="15" t="s">
        <v>10</v>
      </c>
      <c r="I4" s="15" t="s">
        <v>11</v>
      </c>
      <c r="J4" s="15" t="s">
        <v>744</v>
      </c>
      <c r="K4" s="15" t="s">
        <v>745</v>
      </c>
      <c r="L4" s="15" t="s">
        <v>746</v>
      </c>
      <c r="M4" s="15" t="s">
        <v>747</v>
      </c>
      <c r="N4" s="15" t="s">
        <v>748</v>
      </c>
    </row>
    <row r="5" spans="1:21" s="16" customFormat="1">
      <c r="E5" s="17"/>
      <c r="F5" s="17"/>
      <c r="G5" s="17"/>
      <c r="H5" s="17"/>
      <c r="I5" s="17"/>
      <c r="J5" s="17"/>
      <c r="K5" s="17"/>
      <c r="L5" s="17"/>
      <c r="M5" s="17"/>
      <c r="N5" s="17"/>
      <c r="Q5" s="16" t="s">
        <v>106</v>
      </c>
    </row>
    <row r="6" spans="1:21">
      <c r="E6" s="18"/>
      <c r="F6" s="18"/>
      <c r="G6" s="18"/>
      <c r="H6" s="18"/>
      <c r="I6" s="18"/>
      <c r="J6" s="18"/>
      <c r="K6" s="18"/>
      <c r="L6" s="18"/>
      <c r="M6" s="18"/>
      <c r="N6" s="18"/>
      <c r="Q6" s="914"/>
    </row>
    <row r="7" spans="1:21">
      <c r="A7" t="s">
        <v>39</v>
      </c>
      <c r="E7" t="s">
        <v>2899</v>
      </c>
      <c r="F7" t="s">
        <v>2899</v>
      </c>
      <c r="G7" t="s">
        <v>2899</v>
      </c>
      <c r="H7" t="s">
        <v>2899</v>
      </c>
      <c r="I7" t="s">
        <v>2899</v>
      </c>
      <c r="J7" t="s">
        <v>2899</v>
      </c>
      <c r="K7" t="s">
        <v>2899</v>
      </c>
      <c r="L7" t="s">
        <v>2899</v>
      </c>
      <c r="M7" t="s">
        <v>2899</v>
      </c>
      <c r="N7" t="s">
        <v>2899</v>
      </c>
      <c r="O7" t="s">
        <v>2798</v>
      </c>
      <c r="Q7" s="914" t="s">
        <v>470</v>
      </c>
    </row>
    <row r="8" spans="1:21">
      <c r="E8"/>
      <c r="F8"/>
      <c r="G8"/>
      <c r="H8"/>
      <c r="I8"/>
      <c r="J8"/>
      <c r="K8"/>
      <c r="L8"/>
      <c r="M8"/>
      <c r="N8"/>
      <c r="Q8" s="914"/>
    </row>
    <row r="9" spans="1:21">
      <c r="A9" s="29" t="s">
        <v>983</v>
      </c>
      <c r="B9" s="29"/>
      <c r="C9" s="29"/>
      <c r="D9" s="29"/>
      <c r="E9" s="37"/>
      <c r="F9" s="37"/>
      <c r="G9" s="37"/>
      <c r="H9" s="37"/>
      <c r="I9" s="37"/>
      <c r="J9" s="37"/>
      <c r="K9" s="37"/>
      <c r="L9" s="37"/>
      <c r="M9" s="37"/>
      <c r="N9" s="37"/>
      <c r="Q9" s="914"/>
    </row>
    <row r="10" spans="1:21">
      <c r="B10" t="s">
        <v>456</v>
      </c>
      <c r="E10" s="30">
        <v>2400</v>
      </c>
      <c r="F10" s="30">
        <v>2400</v>
      </c>
      <c r="G10" s="30">
        <v>2400</v>
      </c>
      <c r="H10" s="30">
        <v>2400</v>
      </c>
      <c r="I10" s="30">
        <v>2400</v>
      </c>
      <c r="J10" s="30">
        <v>2400</v>
      </c>
      <c r="K10" s="30">
        <v>2400</v>
      </c>
      <c r="L10" s="30">
        <v>2400</v>
      </c>
      <c r="M10" s="30">
        <v>2400</v>
      </c>
      <c r="N10" s="30">
        <v>2400</v>
      </c>
      <c r="O10" t="s">
        <v>985</v>
      </c>
      <c r="Q10" s="915">
        <v>2400</v>
      </c>
    </row>
    <row r="11" spans="1:21">
      <c r="B11" t="s">
        <v>1000</v>
      </c>
      <c r="E11" s="476">
        <v>0.7</v>
      </c>
      <c r="F11" s="476">
        <v>0.7</v>
      </c>
      <c r="G11" s="476">
        <v>0.7</v>
      </c>
      <c r="H11" s="476">
        <v>0.7</v>
      </c>
      <c r="I11" s="476">
        <v>0.7</v>
      </c>
      <c r="J11" s="476">
        <v>0.7</v>
      </c>
      <c r="K11" s="476">
        <v>0.7</v>
      </c>
      <c r="L11" s="476">
        <v>0.7</v>
      </c>
      <c r="M11" s="476">
        <v>0.7</v>
      </c>
      <c r="N11" s="476">
        <v>0.7</v>
      </c>
      <c r="O11" t="s">
        <v>984</v>
      </c>
      <c r="Q11" s="916">
        <v>0.7</v>
      </c>
    </row>
    <row r="12" spans="1:21">
      <c r="B12" t="s">
        <v>1005</v>
      </c>
      <c r="E12" s="476">
        <v>0.5</v>
      </c>
      <c r="F12" s="476">
        <v>0.5</v>
      </c>
      <c r="G12" s="476">
        <v>0.5</v>
      </c>
      <c r="H12" s="476">
        <v>0.5</v>
      </c>
      <c r="I12" s="476">
        <v>0.5</v>
      </c>
      <c r="J12" s="476">
        <v>0.5</v>
      </c>
      <c r="K12" s="476">
        <v>0.5</v>
      </c>
      <c r="L12" s="476">
        <v>0.5</v>
      </c>
      <c r="M12" s="476">
        <v>0.5</v>
      </c>
      <c r="N12" s="476">
        <v>0.5</v>
      </c>
      <c r="O12" t="s">
        <v>1006</v>
      </c>
      <c r="Q12" s="916">
        <v>0.5</v>
      </c>
    </row>
    <row r="13" spans="1:21">
      <c r="B13" t="s">
        <v>1364</v>
      </c>
      <c r="E13" s="30">
        <v>200</v>
      </c>
      <c r="F13" s="30">
        <v>200</v>
      </c>
      <c r="G13" s="30">
        <v>200</v>
      </c>
      <c r="H13" s="30">
        <v>200</v>
      </c>
      <c r="I13" s="30">
        <v>200</v>
      </c>
      <c r="J13" s="30">
        <v>200</v>
      </c>
      <c r="K13" s="30">
        <v>200</v>
      </c>
      <c r="L13" s="30">
        <v>200</v>
      </c>
      <c r="M13" s="30">
        <v>200</v>
      </c>
      <c r="N13" s="30">
        <v>200</v>
      </c>
      <c r="O13" t="s">
        <v>1365</v>
      </c>
      <c r="Q13" s="915">
        <v>200</v>
      </c>
    </row>
    <row r="14" spans="1:21">
      <c r="Q14" s="914"/>
    </row>
    <row r="15" spans="1:21">
      <c r="A15" s="29" t="s">
        <v>1167</v>
      </c>
      <c r="B15" s="29"/>
      <c r="C15" s="29"/>
      <c r="D15" s="29"/>
      <c r="E15" s="37"/>
      <c r="F15" s="37"/>
      <c r="G15" s="37"/>
      <c r="H15" s="37"/>
      <c r="I15" s="37"/>
      <c r="J15" s="37"/>
      <c r="K15" s="37"/>
      <c r="L15" s="37"/>
      <c r="M15" s="37"/>
      <c r="N15" s="37"/>
      <c r="Q15" s="914"/>
    </row>
    <row r="16" spans="1:21">
      <c r="A16" s="29"/>
      <c r="B16" s="29" t="str">
        <f>nmProd1Seg1&amp;" Share"</f>
        <v>Productivity &amp; Business Enterprise Share</v>
      </c>
      <c r="C16" s="29"/>
      <c r="D16" s="29"/>
      <c r="E16" s="495">
        <v>0.09</v>
      </c>
      <c r="F16" s="495">
        <v>0.09</v>
      </c>
      <c r="G16" s="495">
        <v>0.09</v>
      </c>
      <c r="H16" s="495">
        <v>0.09</v>
      </c>
      <c r="I16" s="495">
        <v>0.09</v>
      </c>
      <c r="J16" s="495">
        <v>0.09</v>
      </c>
      <c r="K16" s="495">
        <v>0.09</v>
      </c>
      <c r="L16" s="495">
        <v>0.09</v>
      </c>
      <c r="M16" s="495">
        <v>0.09</v>
      </c>
      <c r="N16" s="495">
        <v>0.09</v>
      </c>
      <c r="O16" t="s">
        <v>1175</v>
      </c>
      <c r="Q16" s="916">
        <v>0.09</v>
      </c>
    </row>
    <row r="17" spans="1:17">
      <c r="A17" s="29"/>
      <c r="B17" s="29" t="str">
        <f>nmProd1Seg2&amp;" Share"</f>
        <v>Productivity &amp; Business SMC Share</v>
      </c>
      <c r="C17" s="29"/>
      <c r="D17" s="29"/>
      <c r="E17" s="495">
        <v>0.09</v>
      </c>
      <c r="F17" s="495">
        <v>0.09</v>
      </c>
      <c r="G17" s="495">
        <v>0.09</v>
      </c>
      <c r="H17" s="495">
        <v>0.09</v>
      </c>
      <c r="I17" s="495">
        <v>0.09</v>
      </c>
      <c r="J17" s="495">
        <v>0.09</v>
      </c>
      <c r="K17" s="495">
        <v>0.09</v>
      </c>
      <c r="L17" s="495">
        <v>0.09</v>
      </c>
      <c r="M17" s="495">
        <v>0.09</v>
      </c>
      <c r="N17" s="495">
        <v>0.09</v>
      </c>
      <c r="O17" t="s">
        <v>1176</v>
      </c>
      <c r="Q17" s="916">
        <v>0.09</v>
      </c>
    </row>
    <row r="18" spans="1:17">
      <c r="A18" s="29"/>
      <c r="B18" s="29" t="str">
        <f>nmProd1Seg3&amp;" Share"</f>
        <v>Productivity &amp; Business Consumer Share</v>
      </c>
      <c r="C18" s="29"/>
      <c r="D18" s="29"/>
      <c r="E18" s="495">
        <v>0.09</v>
      </c>
      <c r="F18" s="495">
        <v>0.09</v>
      </c>
      <c r="G18" s="495">
        <v>0.09</v>
      </c>
      <c r="H18" s="495">
        <v>0.09</v>
      </c>
      <c r="I18" s="495">
        <v>0.09</v>
      </c>
      <c r="J18" s="495">
        <v>0.09</v>
      </c>
      <c r="K18" s="495">
        <v>0.09</v>
      </c>
      <c r="L18" s="495">
        <v>0.09</v>
      </c>
      <c r="M18" s="495">
        <v>0.09</v>
      </c>
      <c r="N18" s="495">
        <v>0.09</v>
      </c>
      <c r="O18" t="s">
        <v>1177</v>
      </c>
      <c r="Q18" s="916">
        <v>0.09</v>
      </c>
    </row>
    <row r="19" spans="1:17">
      <c r="A19" s="29"/>
      <c r="B19" s="29" t="str">
        <f>nmProd2Seg1&amp;" Share"</f>
        <v>Intelligent Cloud Enterprise Share</v>
      </c>
      <c r="C19" s="29"/>
      <c r="D19" s="29"/>
      <c r="E19" s="495">
        <v>0.09</v>
      </c>
      <c r="F19" s="495">
        <v>0.09</v>
      </c>
      <c r="G19" s="495">
        <v>0.09</v>
      </c>
      <c r="H19" s="495">
        <v>0.09</v>
      </c>
      <c r="I19" s="495">
        <v>0.09</v>
      </c>
      <c r="J19" s="495">
        <v>0.09</v>
      </c>
      <c r="K19" s="495">
        <v>0.09</v>
      </c>
      <c r="L19" s="495">
        <v>0.09</v>
      </c>
      <c r="M19" s="495">
        <v>0.09</v>
      </c>
      <c r="N19" s="495">
        <v>0.09</v>
      </c>
      <c r="O19" t="s">
        <v>1178</v>
      </c>
      <c r="Q19" s="916">
        <v>0.09</v>
      </c>
    </row>
    <row r="20" spans="1:17">
      <c r="A20" s="29"/>
      <c r="B20" s="29" t="str">
        <f>nmProd2Seg2&amp;" Share"</f>
        <v>Intelligent Cloud SMC Share</v>
      </c>
      <c r="C20" s="29"/>
      <c r="D20" s="29"/>
      <c r="E20" s="495">
        <v>0.09</v>
      </c>
      <c r="F20" s="495">
        <v>0.09</v>
      </c>
      <c r="G20" s="495">
        <v>0.09</v>
      </c>
      <c r="H20" s="495">
        <v>0.09</v>
      </c>
      <c r="I20" s="495">
        <v>0.09</v>
      </c>
      <c r="J20" s="495">
        <v>0.09</v>
      </c>
      <c r="K20" s="495">
        <v>0.09</v>
      </c>
      <c r="L20" s="495">
        <v>0.09</v>
      </c>
      <c r="M20" s="495">
        <v>0.09</v>
      </c>
      <c r="N20" s="495">
        <v>0.09</v>
      </c>
      <c r="O20" t="s">
        <v>1179</v>
      </c>
      <c r="Q20" s="916">
        <v>0.09</v>
      </c>
    </row>
    <row r="21" spans="1:17">
      <c r="A21" s="29"/>
      <c r="B21" s="29" t="str">
        <f>nmProd3Seg1&amp;" Share"</f>
        <v>Personal Computing Enterprise Share</v>
      </c>
      <c r="C21" s="29"/>
      <c r="D21" s="29"/>
      <c r="E21" s="495">
        <v>0.09</v>
      </c>
      <c r="F21" s="495">
        <v>0.09</v>
      </c>
      <c r="G21" s="495">
        <v>0.09</v>
      </c>
      <c r="H21" s="495">
        <v>0.09</v>
      </c>
      <c r="I21" s="495">
        <v>0.09</v>
      </c>
      <c r="J21" s="495">
        <v>0.09</v>
      </c>
      <c r="K21" s="495">
        <v>0.09</v>
      </c>
      <c r="L21" s="495">
        <v>0.09</v>
      </c>
      <c r="M21" s="495">
        <v>0.09</v>
      </c>
      <c r="N21" s="495">
        <v>0.09</v>
      </c>
      <c r="O21" t="s">
        <v>1180</v>
      </c>
      <c r="Q21" s="916">
        <v>0.09</v>
      </c>
    </row>
    <row r="22" spans="1:17">
      <c r="A22" s="29"/>
      <c r="B22" s="29" t="str">
        <f>nmProd3Seg2&amp;" Share"</f>
        <v>Personal Computing SMC Share</v>
      </c>
      <c r="C22" s="29"/>
      <c r="D22" s="29"/>
      <c r="E22" s="495">
        <v>0.09</v>
      </c>
      <c r="F22" s="495">
        <v>0.09</v>
      </c>
      <c r="G22" s="495">
        <v>0.09</v>
      </c>
      <c r="H22" s="495">
        <v>0.09</v>
      </c>
      <c r="I22" s="495">
        <v>0.09</v>
      </c>
      <c r="J22" s="495">
        <v>0.09</v>
      </c>
      <c r="K22" s="495">
        <v>0.09</v>
      </c>
      <c r="L22" s="495">
        <v>0.09</v>
      </c>
      <c r="M22" s="495">
        <v>0.09</v>
      </c>
      <c r="N22" s="495">
        <v>0.09</v>
      </c>
      <c r="O22" t="s">
        <v>1181</v>
      </c>
      <c r="Q22" s="916">
        <v>0.09</v>
      </c>
    </row>
    <row r="23" spans="1:17">
      <c r="A23" s="29"/>
      <c r="B23" s="29" t="str">
        <f>nmProd3Seg3&amp;" Share"</f>
        <v>Personal Computing Consumer Share</v>
      </c>
      <c r="C23" s="29"/>
      <c r="D23" s="29"/>
      <c r="E23" s="495">
        <v>0.09</v>
      </c>
      <c r="F23" s="495">
        <v>0.09</v>
      </c>
      <c r="G23" s="495">
        <v>0.09</v>
      </c>
      <c r="H23" s="495">
        <v>0.09</v>
      </c>
      <c r="I23" s="495">
        <v>0.09</v>
      </c>
      <c r="J23" s="495">
        <v>0.09</v>
      </c>
      <c r="K23" s="495">
        <v>0.09</v>
      </c>
      <c r="L23" s="495">
        <v>0.09</v>
      </c>
      <c r="M23" s="495">
        <v>0.09</v>
      </c>
      <c r="N23" s="495">
        <v>0.09</v>
      </c>
      <c r="O23" t="s">
        <v>1182</v>
      </c>
      <c r="Q23" s="916">
        <v>0.09</v>
      </c>
    </row>
    <row r="24" spans="1:17">
      <c r="A24" s="29"/>
      <c r="B24" s="29"/>
      <c r="C24" s="29"/>
      <c r="D24" s="29"/>
      <c r="E24" s="495"/>
      <c r="F24" s="495"/>
      <c r="G24" s="495"/>
      <c r="H24" s="495"/>
      <c r="I24" s="495"/>
      <c r="J24" s="495"/>
      <c r="K24" s="495"/>
      <c r="L24" s="495"/>
      <c r="M24" s="495"/>
      <c r="N24" s="495"/>
      <c r="Q24" s="916"/>
    </row>
    <row r="25" spans="1:17">
      <c r="A25" s="29"/>
      <c r="B25" s="29" t="s">
        <v>402</v>
      </c>
      <c r="C25" s="29"/>
      <c r="D25" s="29"/>
      <c r="E25" s="484">
        <v>1500000</v>
      </c>
      <c r="F25" s="484">
        <v>1500000</v>
      </c>
      <c r="G25" s="484">
        <v>1500000</v>
      </c>
      <c r="H25" s="484">
        <v>1500000</v>
      </c>
      <c r="I25" s="484">
        <v>1500000</v>
      </c>
      <c r="J25" s="484">
        <v>1500000</v>
      </c>
      <c r="K25" s="484">
        <v>1500000</v>
      </c>
      <c r="L25" s="484">
        <v>1500000</v>
      </c>
      <c r="M25" s="484">
        <v>1500000</v>
      </c>
      <c r="N25" s="484">
        <v>1500000</v>
      </c>
      <c r="O25" t="s">
        <v>1174</v>
      </c>
      <c r="Q25" s="917">
        <v>1500000</v>
      </c>
    </row>
    <row r="26" spans="1:17">
      <c r="B26" s="29"/>
      <c r="Q26" s="914"/>
    </row>
    <row r="27" spans="1:17">
      <c r="A27" s="29"/>
      <c r="B27" s="29" t="s">
        <v>2900</v>
      </c>
      <c r="C27" s="29"/>
      <c r="D27" s="29"/>
      <c r="E27" s="37">
        <v>10</v>
      </c>
      <c r="F27" s="37">
        <v>10</v>
      </c>
      <c r="G27" s="37">
        <v>10</v>
      </c>
      <c r="H27" s="37">
        <v>10</v>
      </c>
      <c r="I27" s="37">
        <v>10</v>
      </c>
      <c r="J27" s="37">
        <v>10</v>
      </c>
      <c r="K27" s="37">
        <v>10</v>
      </c>
      <c r="L27" s="37">
        <v>10</v>
      </c>
      <c r="M27" s="37">
        <v>10</v>
      </c>
      <c r="N27" s="37">
        <v>10</v>
      </c>
      <c r="O27" t="s">
        <v>1320</v>
      </c>
      <c r="Q27" s="914">
        <v>10</v>
      </c>
    </row>
    <row r="28" spans="1:17">
      <c r="B28" s="29"/>
      <c r="Q28" s="914"/>
    </row>
    <row r="29" spans="1:17">
      <c r="A29" s="29"/>
      <c r="B29" s="29" t="s">
        <v>637</v>
      </c>
      <c r="C29" s="29"/>
      <c r="D29" s="29"/>
      <c r="E29" s="37">
        <v>15</v>
      </c>
      <c r="F29" s="37">
        <v>15</v>
      </c>
      <c r="G29" s="37">
        <v>15</v>
      </c>
      <c r="H29" s="37">
        <v>15</v>
      </c>
      <c r="I29" s="37">
        <v>15</v>
      </c>
      <c r="J29" s="37">
        <v>15</v>
      </c>
      <c r="K29" s="37">
        <v>15</v>
      </c>
      <c r="L29" s="37">
        <v>15</v>
      </c>
      <c r="M29" s="37">
        <v>15</v>
      </c>
      <c r="N29" s="37">
        <v>15</v>
      </c>
      <c r="O29" t="s">
        <v>1321</v>
      </c>
      <c r="Q29" s="914">
        <v>15</v>
      </c>
    </row>
    <row r="30" spans="1:17">
      <c r="A30" s="29"/>
      <c r="B30" s="29" t="s">
        <v>3270</v>
      </c>
      <c r="C30" s="29"/>
      <c r="D30" s="29"/>
      <c r="E30" s="37">
        <v>40</v>
      </c>
      <c r="F30" s="37">
        <v>40</v>
      </c>
      <c r="G30" s="37">
        <v>40</v>
      </c>
      <c r="H30" s="37">
        <v>40</v>
      </c>
      <c r="I30" s="37">
        <v>40</v>
      </c>
      <c r="J30" s="37">
        <v>40</v>
      </c>
      <c r="K30" s="37">
        <v>40</v>
      </c>
      <c r="L30" s="37">
        <v>40</v>
      </c>
      <c r="M30" s="37">
        <v>40</v>
      </c>
      <c r="N30" s="37">
        <v>40</v>
      </c>
      <c r="O30" t="s">
        <v>3268</v>
      </c>
      <c r="Q30" s="914">
        <v>15</v>
      </c>
    </row>
    <row r="31" spans="1:17">
      <c r="B31" s="29" t="s">
        <v>639</v>
      </c>
      <c r="E31" s="19">
        <v>10</v>
      </c>
      <c r="F31" s="19">
        <v>10</v>
      </c>
      <c r="G31" s="19">
        <v>10</v>
      </c>
      <c r="H31" s="19">
        <v>10</v>
      </c>
      <c r="I31" s="19">
        <v>10</v>
      </c>
      <c r="J31" s="19">
        <v>10</v>
      </c>
      <c r="K31" s="19">
        <v>10</v>
      </c>
      <c r="L31" s="19">
        <v>10</v>
      </c>
      <c r="M31" s="19">
        <v>10</v>
      </c>
      <c r="N31" s="19">
        <v>10</v>
      </c>
      <c r="O31" t="s">
        <v>1322</v>
      </c>
      <c r="Q31" s="914">
        <v>10</v>
      </c>
    </row>
    <row r="32" spans="1:17">
      <c r="Q32" s="914"/>
    </row>
    <row r="33" spans="1:17" s="497" customFormat="1">
      <c r="B33" s="497" t="s">
        <v>1480</v>
      </c>
      <c r="E33" s="627">
        <v>1</v>
      </c>
      <c r="F33" s="627">
        <v>1</v>
      </c>
      <c r="G33" s="627">
        <v>1</v>
      </c>
      <c r="H33" s="627">
        <v>1</v>
      </c>
      <c r="I33" s="627">
        <v>1</v>
      </c>
      <c r="J33" s="627">
        <v>1</v>
      </c>
      <c r="K33" s="627">
        <v>1</v>
      </c>
      <c r="L33" s="627">
        <v>1</v>
      </c>
      <c r="M33" s="627">
        <v>1</v>
      </c>
      <c r="N33" s="627">
        <v>1</v>
      </c>
      <c r="O33" s="497" t="s">
        <v>1482</v>
      </c>
      <c r="Q33" s="918">
        <v>1</v>
      </c>
    </row>
    <row r="34" spans="1:17" s="497" customFormat="1">
      <c r="B34" s="497" t="s">
        <v>1510</v>
      </c>
      <c r="E34" s="577">
        <v>20000000</v>
      </c>
      <c r="F34" s="577">
        <v>20000000</v>
      </c>
      <c r="G34" s="577">
        <v>20000000</v>
      </c>
      <c r="H34" s="577">
        <v>20000000</v>
      </c>
      <c r="I34" s="577">
        <v>20000000</v>
      </c>
      <c r="J34" s="577">
        <v>20000000</v>
      </c>
      <c r="K34" s="577">
        <v>20000000</v>
      </c>
      <c r="L34" s="577">
        <v>20000000</v>
      </c>
      <c r="M34" s="577">
        <v>20000000</v>
      </c>
      <c r="N34" s="577">
        <v>20000000</v>
      </c>
      <c r="O34" s="497" t="s">
        <v>1511</v>
      </c>
      <c r="Q34" s="919">
        <v>25000000</v>
      </c>
    </row>
    <row r="35" spans="1:17" s="497" customFormat="1">
      <c r="B35" s="497" t="s">
        <v>925</v>
      </c>
      <c r="E35" s="499">
        <v>0.31468024045139403</v>
      </c>
      <c r="F35" s="499">
        <v>0.31468024045139403</v>
      </c>
      <c r="G35" s="499">
        <v>0.31468024045139403</v>
      </c>
      <c r="H35" s="499">
        <v>0.31468024045139403</v>
      </c>
      <c r="I35" s="499">
        <v>0.31468024045139403</v>
      </c>
      <c r="J35" s="499">
        <v>0.31468024045139403</v>
      </c>
      <c r="K35" s="499">
        <v>0.31468024045139403</v>
      </c>
      <c r="L35" s="499">
        <v>0.31468024045139403</v>
      </c>
      <c r="M35" s="499">
        <v>0.31468024045139403</v>
      </c>
      <c r="N35" s="499">
        <v>0.31468024045139403</v>
      </c>
      <c r="O35" s="497" t="s">
        <v>2101</v>
      </c>
      <c r="Q35" s="919">
        <v>0.3</v>
      </c>
    </row>
    <row r="36" spans="1:17">
      <c r="Q36" s="914"/>
    </row>
    <row r="37" spans="1:17">
      <c r="A37" s="29" t="s">
        <v>454</v>
      </c>
      <c r="B37" s="29"/>
      <c r="C37" s="29"/>
      <c r="D37" s="29"/>
      <c r="E37" s="37"/>
      <c r="F37" s="37"/>
      <c r="G37" s="37"/>
      <c r="H37" s="37"/>
      <c r="I37" s="37"/>
      <c r="J37" s="37"/>
      <c r="K37" s="37"/>
      <c r="L37" s="37"/>
      <c r="M37" s="37"/>
      <c r="N37" s="37"/>
      <c r="Q37" s="914"/>
    </row>
    <row r="38" spans="1:17">
      <c r="A38" s="29"/>
      <c r="B38" s="29" t="s">
        <v>450</v>
      </c>
      <c r="C38" s="29"/>
      <c r="D38" s="29"/>
      <c r="E38" s="489">
        <v>7</v>
      </c>
      <c r="F38" s="489">
        <v>7</v>
      </c>
      <c r="G38" s="489">
        <v>7</v>
      </c>
      <c r="H38" s="489">
        <v>7</v>
      </c>
      <c r="I38" s="489">
        <v>7</v>
      </c>
      <c r="J38" s="489">
        <v>7</v>
      </c>
      <c r="K38" s="489">
        <v>7</v>
      </c>
      <c r="L38" s="489">
        <v>7</v>
      </c>
      <c r="M38" s="489">
        <v>7</v>
      </c>
      <c r="N38" s="489">
        <v>7</v>
      </c>
      <c r="O38" t="s">
        <v>1027</v>
      </c>
      <c r="Q38" s="914">
        <v>7</v>
      </c>
    </row>
    <row r="39" spans="1:17">
      <c r="B39" t="s">
        <v>451</v>
      </c>
      <c r="E39" s="477">
        <v>5</v>
      </c>
      <c r="F39" s="477">
        <v>5</v>
      </c>
      <c r="G39" s="477">
        <v>5</v>
      </c>
      <c r="H39" s="477">
        <v>5</v>
      </c>
      <c r="I39" s="477">
        <v>5</v>
      </c>
      <c r="J39" s="477">
        <v>5</v>
      </c>
      <c r="K39" s="477">
        <v>5</v>
      </c>
      <c r="L39" s="477">
        <v>5</v>
      </c>
      <c r="M39" s="477">
        <v>5</v>
      </c>
      <c r="N39" s="477">
        <v>5</v>
      </c>
      <c r="O39" t="s">
        <v>1026</v>
      </c>
      <c r="Q39" s="914">
        <v>5</v>
      </c>
    </row>
    <row r="40" spans="1:17">
      <c r="B40" t="s">
        <v>453</v>
      </c>
      <c r="E40" s="477">
        <v>4</v>
      </c>
      <c r="F40" s="477">
        <v>4</v>
      </c>
      <c r="G40" s="477">
        <v>4</v>
      </c>
      <c r="H40" s="477">
        <v>4</v>
      </c>
      <c r="I40" s="477">
        <v>4</v>
      </c>
      <c r="J40" s="477">
        <v>4</v>
      </c>
      <c r="K40" s="477">
        <v>4</v>
      </c>
      <c r="L40" s="477">
        <v>4</v>
      </c>
      <c r="M40" s="477">
        <v>4</v>
      </c>
      <c r="N40" s="477">
        <v>4</v>
      </c>
      <c r="O40" t="s">
        <v>1028</v>
      </c>
      <c r="Q40" s="914">
        <v>4</v>
      </c>
    </row>
    <row r="41" spans="1:17">
      <c r="E41" s="477"/>
      <c r="F41" s="477"/>
      <c r="G41" s="477"/>
      <c r="H41" s="477"/>
      <c r="I41" s="477"/>
      <c r="J41" s="477"/>
      <c r="K41" s="477"/>
      <c r="L41" s="477"/>
      <c r="M41" s="477"/>
      <c r="N41" s="477"/>
      <c r="Q41" s="914"/>
    </row>
    <row r="42" spans="1:17">
      <c r="A42" s="29"/>
      <c r="B42" s="29" t="str">
        <f>nmProd1Offering1</f>
        <v>Workspace 365</v>
      </c>
      <c r="C42" s="29"/>
      <c r="D42" s="29"/>
      <c r="E42" s="489">
        <v>8</v>
      </c>
      <c r="F42" s="489">
        <v>8</v>
      </c>
      <c r="G42" s="489">
        <v>8</v>
      </c>
      <c r="H42" s="489">
        <v>8</v>
      </c>
      <c r="I42" s="489">
        <v>8</v>
      </c>
      <c r="J42" s="489">
        <v>8</v>
      </c>
      <c r="K42" s="489">
        <v>8</v>
      </c>
      <c r="L42" s="489">
        <v>8</v>
      </c>
      <c r="M42" s="489">
        <v>8</v>
      </c>
      <c r="N42" s="489">
        <v>8</v>
      </c>
      <c r="O42" t="s">
        <v>1029</v>
      </c>
      <c r="Q42" s="914">
        <v>8</v>
      </c>
    </row>
    <row r="43" spans="1:17">
      <c r="A43" s="29"/>
      <c r="B43" s="29" t="str">
        <f>nmProd1Offering2</f>
        <v>Dynamo 365</v>
      </c>
      <c r="C43" s="29"/>
      <c r="D43" s="29"/>
      <c r="E43" s="489">
        <v>6</v>
      </c>
      <c r="F43" s="489">
        <v>6</v>
      </c>
      <c r="G43" s="489">
        <v>6</v>
      </c>
      <c r="H43" s="489">
        <v>6</v>
      </c>
      <c r="I43" s="489">
        <v>6</v>
      </c>
      <c r="J43" s="489">
        <v>6</v>
      </c>
      <c r="K43" s="489">
        <v>6</v>
      </c>
      <c r="L43" s="489">
        <v>6</v>
      </c>
      <c r="M43" s="489">
        <v>6</v>
      </c>
      <c r="N43" s="489">
        <v>6</v>
      </c>
      <c r="O43" t="s">
        <v>1030</v>
      </c>
      <c r="Q43" s="914">
        <v>6</v>
      </c>
    </row>
    <row r="44" spans="1:17">
      <c r="A44" s="29"/>
      <c r="B44" s="29"/>
      <c r="C44" s="29"/>
      <c r="D44" s="29"/>
      <c r="E44" s="489"/>
      <c r="F44" s="489"/>
      <c r="G44" s="489"/>
      <c r="H44" s="489"/>
      <c r="I44" s="489"/>
      <c r="J44" s="489"/>
      <c r="K44" s="489"/>
      <c r="L44" s="489"/>
      <c r="M44" s="489"/>
      <c r="N44" s="489"/>
      <c r="Q44" s="914"/>
    </row>
    <row r="45" spans="1:17">
      <c r="A45" s="29"/>
      <c r="B45" s="29" t="str">
        <f>nmProd2Offering1</f>
        <v>Azul Infrastructure</v>
      </c>
      <c r="C45" s="29"/>
      <c r="D45" s="29"/>
      <c r="E45" s="489">
        <v>4</v>
      </c>
      <c r="F45" s="489">
        <v>4</v>
      </c>
      <c r="G45" s="489">
        <v>4</v>
      </c>
      <c r="H45" s="489">
        <v>4</v>
      </c>
      <c r="I45" s="489">
        <v>4</v>
      </c>
      <c r="J45" s="489">
        <v>4</v>
      </c>
      <c r="K45" s="489">
        <v>4</v>
      </c>
      <c r="L45" s="489">
        <v>4</v>
      </c>
      <c r="M45" s="489">
        <v>4</v>
      </c>
      <c r="N45" s="489">
        <v>4</v>
      </c>
      <c r="O45" t="s">
        <v>1031</v>
      </c>
      <c r="Q45" s="914">
        <v>4</v>
      </c>
    </row>
    <row r="46" spans="1:17">
      <c r="A46" s="29"/>
      <c r="B46" s="29" t="str">
        <f>nmProd2Offering2</f>
        <v>Azul Data, Applications, and AI</v>
      </c>
      <c r="C46" s="29"/>
      <c r="D46" s="29"/>
      <c r="E46" s="489">
        <v>4</v>
      </c>
      <c r="F46" s="489">
        <v>4</v>
      </c>
      <c r="G46" s="489">
        <v>4</v>
      </c>
      <c r="H46" s="489">
        <v>4</v>
      </c>
      <c r="I46" s="489">
        <v>4</v>
      </c>
      <c r="J46" s="489">
        <v>4</v>
      </c>
      <c r="K46" s="489">
        <v>4</v>
      </c>
      <c r="L46" s="489">
        <v>4</v>
      </c>
      <c r="M46" s="489">
        <v>4</v>
      </c>
      <c r="N46" s="489">
        <v>4</v>
      </c>
      <c r="O46" t="s">
        <v>1032</v>
      </c>
      <c r="Q46" s="914">
        <v>4</v>
      </c>
    </row>
    <row r="47" spans="1:17">
      <c r="A47" s="29"/>
      <c r="B47" s="29"/>
      <c r="C47" s="29"/>
      <c r="D47" s="29"/>
      <c r="E47" s="489"/>
      <c r="F47" s="489"/>
      <c r="G47" s="489"/>
      <c r="H47" s="489"/>
      <c r="I47" s="489"/>
      <c r="J47" s="489"/>
      <c r="K47" s="489"/>
      <c r="L47" s="489"/>
      <c r="M47" s="489"/>
      <c r="N47" s="489"/>
      <c r="Q47" s="914"/>
    </row>
    <row r="48" spans="1:17">
      <c r="A48" s="29"/>
      <c r="B48" s="29" t="str">
        <f>nmProd3Offering1</f>
        <v>Doors OS</v>
      </c>
      <c r="C48" s="29"/>
      <c r="D48" s="29"/>
      <c r="E48" s="489">
        <v>7</v>
      </c>
      <c r="F48" s="489">
        <v>7</v>
      </c>
      <c r="G48" s="489">
        <v>7</v>
      </c>
      <c r="H48" s="489">
        <v>7</v>
      </c>
      <c r="I48" s="489">
        <v>7</v>
      </c>
      <c r="J48" s="489">
        <v>7</v>
      </c>
      <c r="K48" s="489">
        <v>7</v>
      </c>
      <c r="L48" s="489">
        <v>7</v>
      </c>
      <c r="M48" s="489">
        <v>7</v>
      </c>
      <c r="N48" s="489">
        <v>7</v>
      </c>
      <c r="O48" t="s">
        <v>1033</v>
      </c>
      <c r="Q48" s="914">
        <v>7</v>
      </c>
    </row>
    <row r="49" spans="1:17">
      <c r="A49" s="29"/>
      <c r="B49" s="29" t="str">
        <f>nmProd3Offering2</f>
        <v>Devices</v>
      </c>
      <c r="C49" s="29"/>
      <c r="D49" s="29"/>
      <c r="E49" s="489">
        <v>6</v>
      </c>
      <c r="F49" s="489">
        <v>6</v>
      </c>
      <c r="G49" s="489">
        <v>6</v>
      </c>
      <c r="H49" s="489">
        <v>6</v>
      </c>
      <c r="I49" s="489">
        <v>6</v>
      </c>
      <c r="J49" s="489">
        <v>6</v>
      </c>
      <c r="K49" s="489">
        <v>6</v>
      </c>
      <c r="L49" s="489">
        <v>6</v>
      </c>
      <c r="M49" s="489">
        <v>6</v>
      </c>
      <c r="N49" s="489">
        <v>6</v>
      </c>
      <c r="O49" t="s">
        <v>1034</v>
      </c>
      <c r="Q49" s="914">
        <v>6</v>
      </c>
    </row>
    <row r="50" spans="1:17">
      <c r="A50" s="29"/>
      <c r="B50" s="29"/>
      <c r="C50" s="29"/>
      <c r="D50" s="29"/>
      <c r="E50" s="37"/>
      <c r="F50" s="37"/>
      <c r="G50" s="37"/>
      <c r="H50" s="37"/>
      <c r="I50" s="37"/>
      <c r="J50" s="37"/>
      <c r="K50" s="37"/>
      <c r="L50" s="37"/>
      <c r="M50" s="37"/>
      <c r="N50" s="37"/>
      <c r="Q50" s="914"/>
    </row>
    <row r="51" spans="1:17">
      <c r="A51" s="29"/>
      <c r="B51" s="29" t="s">
        <v>2876</v>
      </c>
      <c r="C51" s="29"/>
      <c r="D51" s="29"/>
      <c r="E51" s="489">
        <v>7</v>
      </c>
      <c r="F51" s="489">
        <v>7</v>
      </c>
      <c r="G51" s="489">
        <v>7</v>
      </c>
      <c r="H51" s="489">
        <v>7</v>
      </c>
      <c r="I51" s="489">
        <v>7</v>
      </c>
      <c r="J51" s="489">
        <v>7</v>
      </c>
      <c r="K51" s="489">
        <v>7</v>
      </c>
      <c r="L51" s="489">
        <v>7</v>
      </c>
      <c r="M51" s="489">
        <v>7</v>
      </c>
      <c r="N51" s="489">
        <v>7</v>
      </c>
      <c r="O51" t="s">
        <v>2887</v>
      </c>
      <c r="Q51" s="914">
        <v>0</v>
      </c>
    </row>
    <row r="52" spans="1:17">
      <c r="B52" t="s">
        <v>2877</v>
      </c>
      <c r="E52" s="477">
        <v>5</v>
      </c>
      <c r="F52" s="477">
        <v>5</v>
      </c>
      <c r="G52" s="477">
        <v>5</v>
      </c>
      <c r="H52" s="477">
        <v>5</v>
      </c>
      <c r="I52" s="477">
        <v>5</v>
      </c>
      <c r="J52" s="477">
        <v>5</v>
      </c>
      <c r="K52" s="477">
        <v>5</v>
      </c>
      <c r="L52" s="477">
        <v>5</v>
      </c>
      <c r="M52" s="477">
        <v>5</v>
      </c>
      <c r="N52" s="477">
        <v>5</v>
      </c>
      <c r="O52" t="s">
        <v>2886</v>
      </c>
      <c r="Q52" s="914">
        <v>0</v>
      </c>
    </row>
    <row r="53" spans="1:17">
      <c r="B53" t="s">
        <v>2878</v>
      </c>
      <c r="E53" s="477">
        <v>4</v>
      </c>
      <c r="F53" s="477">
        <v>4</v>
      </c>
      <c r="G53" s="477">
        <v>4</v>
      </c>
      <c r="H53" s="477">
        <v>4</v>
      </c>
      <c r="I53" s="477">
        <v>4</v>
      </c>
      <c r="J53" s="477">
        <v>4</v>
      </c>
      <c r="K53" s="477">
        <v>4</v>
      </c>
      <c r="L53" s="477">
        <v>4</v>
      </c>
      <c r="M53" s="477">
        <v>4</v>
      </c>
      <c r="N53" s="477">
        <v>4</v>
      </c>
      <c r="O53" t="s">
        <v>2885</v>
      </c>
      <c r="Q53" s="914">
        <v>0</v>
      </c>
    </row>
    <row r="54" spans="1:17">
      <c r="E54" s="477"/>
      <c r="F54" s="477"/>
      <c r="G54" s="477"/>
      <c r="H54" s="477"/>
      <c r="I54" s="477"/>
      <c r="J54" s="477"/>
      <c r="K54" s="477"/>
      <c r="L54" s="477"/>
      <c r="M54" s="477"/>
      <c r="N54" s="477"/>
      <c r="Q54" s="914"/>
    </row>
    <row r="55" spans="1:17">
      <c r="A55" s="29"/>
      <c r="B55" s="29" t="str">
        <f>nmProd1Offering1&amp;" Decision"</f>
        <v>Workspace 365 Decision</v>
      </c>
      <c r="C55" s="29"/>
      <c r="D55" s="29"/>
      <c r="E55" s="489">
        <v>8</v>
      </c>
      <c r="F55" s="489">
        <v>8</v>
      </c>
      <c r="G55" s="489">
        <v>8</v>
      </c>
      <c r="H55" s="489">
        <v>8</v>
      </c>
      <c r="I55" s="489">
        <v>8</v>
      </c>
      <c r="J55" s="489">
        <v>8</v>
      </c>
      <c r="K55" s="489">
        <v>8</v>
      </c>
      <c r="L55" s="489">
        <v>8</v>
      </c>
      <c r="M55" s="489">
        <v>8</v>
      </c>
      <c r="N55" s="489">
        <v>8</v>
      </c>
      <c r="O55" t="s">
        <v>2884</v>
      </c>
      <c r="Q55" s="914">
        <v>0</v>
      </c>
    </row>
    <row r="56" spans="1:17">
      <c r="A56" s="29"/>
      <c r="B56" s="29" t="str">
        <f>nmProd1Offering2&amp;" Decision"</f>
        <v>Dynamo 365 Decision</v>
      </c>
      <c r="C56" s="29"/>
      <c r="D56" s="29"/>
      <c r="E56" s="489">
        <v>6</v>
      </c>
      <c r="F56" s="489">
        <v>6</v>
      </c>
      <c r="G56" s="489">
        <v>6</v>
      </c>
      <c r="H56" s="489">
        <v>6</v>
      </c>
      <c r="I56" s="489">
        <v>6</v>
      </c>
      <c r="J56" s="489">
        <v>6</v>
      </c>
      <c r="K56" s="489">
        <v>6</v>
      </c>
      <c r="L56" s="489">
        <v>6</v>
      </c>
      <c r="M56" s="489">
        <v>6</v>
      </c>
      <c r="N56" s="489">
        <v>6</v>
      </c>
      <c r="O56" t="s">
        <v>2883</v>
      </c>
      <c r="Q56" s="914">
        <v>0</v>
      </c>
    </row>
    <row r="57" spans="1:17">
      <c r="A57" s="29"/>
      <c r="B57" s="29"/>
      <c r="C57" s="29"/>
      <c r="D57" s="29"/>
      <c r="E57" s="489"/>
      <c r="F57" s="489"/>
      <c r="G57" s="489"/>
      <c r="H57" s="489"/>
      <c r="I57" s="489"/>
      <c r="J57" s="489"/>
      <c r="K57" s="489"/>
      <c r="L57" s="489"/>
      <c r="M57" s="489"/>
      <c r="N57" s="489"/>
      <c r="Q57" s="914"/>
    </row>
    <row r="58" spans="1:17">
      <c r="A58" s="29"/>
      <c r="B58" s="29" t="str">
        <f>nmProd2Offering1&amp;" Decision"</f>
        <v>Azul Infrastructure Decision</v>
      </c>
      <c r="C58" s="29"/>
      <c r="D58" s="29"/>
      <c r="E58" s="489">
        <v>4</v>
      </c>
      <c r="F58" s="489">
        <v>4</v>
      </c>
      <c r="G58" s="489">
        <v>4</v>
      </c>
      <c r="H58" s="489">
        <v>4</v>
      </c>
      <c r="I58" s="489">
        <v>4</v>
      </c>
      <c r="J58" s="489">
        <v>4</v>
      </c>
      <c r="K58" s="489">
        <v>4</v>
      </c>
      <c r="L58" s="489">
        <v>4</v>
      </c>
      <c r="M58" s="489">
        <v>4</v>
      </c>
      <c r="N58" s="489">
        <v>4</v>
      </c>
      <c r="O58" t="s">
        <v>2882</v>
      </c>
      <c r="Q58" s="914">
        <v>0</v>
      </c>
    </row>
    <row r="59" spans="1:17">
      <c r="A59" s="29"/>
      <c r="B59" s="29" t="str">
        <f>nmProd2Offering2&amp;" Decision"</f>
        <v>Azul Data, Applications, and AI Decision</v>
      </c>
      <c r="C59" s="29"/>
      <c r="D59" s="29"/>
      <c r="E59" s="489">
        <v>4</v>
      </c>
      <c r="F59" s="489">
        <v>4</v>
      </c>
      <c r="G59" s="489">
        <v>4</v>
      </c>
      <c r="H59" s="489">
        <v>4</v>
      </c>
      <c r="I59" s="489">
        <v>4</v>
      </c>
      <c r="J59" s="489">
        <v>4</v>
      </c>
      <c r="K59" s="489">
        <v>4</v>
      </c>
      <c r="L59" s="489">
        <v>4</v>
      </c>
      <c r="M59" s="489">
        <v>4</v>
      </c>
      <c r="N59" s="489">
        <v>4</v>
      </c>
      <c r="O59" t="s">
        <v>2881</v>
      </c>
      <c r="Q59" s="914">
        <v>0</v>
      </c>
    </row>
    <row r="60" spans="1:17">
      <c r="A60" s="29"/>
      <c r="B60" s="29"/>
      <c r="C60" s="29"/>
      <c r="D60" s="29"/>
      <c r="E60" s="489"/>
      <c r="F60" s="489"/>
      <c r="G60" s="489"/>
      <c r="H60" s="489"/>
      <c r="I60" s="489"/>
      <c r="J60" s="489"/>
      <c r="K60" s="489"/>
      <c r="L60" s="489"/>
      <c r="M60" s="489"/>
      <c r="N60" s="489"/>
      <c r="Q60" s="914"/>
    </row>
    <row r="61" spans="1:17">
      <c r="A61" s="29"/>
      <c r="B61" s="29" t="str">
        <f>nmProd3Offering1&amp;" Decision"</f>
        <v>Doors OS Decision</v>
      </c>
      <c r="C61" s="29"/>
      <c r="D61" s="29"/>
      <c r="E61" s="489">
        <v>7</v>
      </c>
      <c r="F61" s="489">
        <v>7</v>
      </c>
      <c r="G61" s="489">
        <v>7</v>
      </c>
      <c r="H61" s="489">
        <v>7</v>
      </c>
      <c r="I61" s="489">
        <v>7</v>
      </c>
      <c r="J61" s="489">
        <v>7</v>
      </c>
      <c r="K61" s="489">
        <v>7</v>
      </c>
      <c r="L61" s="489">
        <v>7</v>
      </c>
      <c r="M61" s="489">
        <v>7</v>
      </c>
      <c r="N61" s="489">
        <v>7</v>
      </c>
      <c r="O61" t="s">
        <v>2880</v>
      </c>
      <c r="Q61" s="914">
        <v>0</v>
      </c>
    </row>
    <row r="62" spans="1:17">
      <c r="A62" s="29"/>
      <c r="B62" s="29" t="str">
        <f>nmProd3Offering2&amp;" Decision"</f>
        <v>Devices Decision</v>
      </c>
      <c r="C62" s="29"/>
      <c r="D62" s="29"/>
      <c r="E62" s="489">
        <v>6</v>
      </c>
      <c r="F62" s="489">
        <v>6</v>
      </c>
      <c r="G62" s="489">
        <v>6</v>
      </c>
      <c r="H62" s="489">
        <v>6</v>
      </c>
      <c r="I62" s="489">
        <v>6</v>
      </c>
      <c r="J62" s="489">
        <v>6</v>
      </c>
      <c r="K62" s="489">
        <v>6</v>
      </c>
      <c r="L62" s="489">
        <v>6</v>
      </c>
      <c r="M62" s="489">
        <v>6</v>
      </c>
      <c r="N62" s="489">
        <v>6</v>
      </c>
      <c r="O62" t="s">
        <v>2879</v>
      </c>
      <c r="Q62" s="914">
        <v>0</v>
      </c>
    </row>
    <row r="63" spans="1:17">
      <c r="Q63" s="914"/>
    </row>
    <row r="64" spans="1:17">
      <c r="A64" s="29" t="s">
        <v>494</v>
      </c>
      <c r="B64" s="29"/>
      <c r="C64" s="29"/>
      <c r="D64" s="29"/>
      <c r="E64" s="37"/>
      <c r="F64" s="37"/>
      <c r="G64" s="37"/>
      <c r="H64" s="37"/>
      <c r="I64" s="37"/>
      <c r="J64" s="37"/>
      <c r="K64" s="37"/>
      <c r="L64" s="37"/>
      <c r="M64" s="37"/>
      <c r="N64" s="37"/>
      <c r="Q64" s="914"/>
    </row>
    <row r="65" spans="1:17">
      <c r="A65" s="29"/>
      <c r="B65" s="29" t="str">
        <f>nmProd1&amp;" Price"</f>
        <v>Productivity &amp; Business Price</v>
      </c>
      <c r="C65" s="29"/>
      <c r="D65" s="29"/>
      <c r="E65" s="484">
        <v>15</v>
      </c>
      <c r="F65" s="484">
        <v>15</v>
      </c>
      <c r="G65" s="484">
        <v>15</v>
      </c>
      <c r="H65" s="484">
        <v>15</v>
      </c>
      <c r="I65" s="484">
        <v>15</v>
      </c>
      <c r="J65" s="484">
        <v>15</v>
      </c>
      <c r="K65" s="484">
        <v>15</v>
      </c>
      <c r="L65" s="484">
        <v>15</v>
      </c>
      <c r="M65" s="484">
        <v>15</v>
      </c>
      <c r="N65" s="484">
        <v>15</v>
      </c>
      <c r="O65" t="s">
        <v>1183</v>
      </c>
      <c r="Q65" s="917">
        <v>15</v>
      </c>
    </row>
    <row r="66" spans="1:17">
      <c r="A66" s="29"/>
      <c r="B66" s="29" t="str">
        <f>nmProd2&amp;" Price"</f>
        <v>Intelligent Cloud Price</v>
      </c>
      <c r="C66" s="29"/>
      <c r="D66" s="29"/>
      <c r="E66" s="484">
        <v>50</v>
      </c>
      <c r="F66" s="484">
        <v>50</v>
      </c>
      <c r="G66" s="484">
        <v>50</v>
      </c>
      <c r="H66" s="484">
        <v>50</v>
      </c>
      <c r="I66" s="484">
        <v>50</v>
      </c>
      <c r="J66" s="484">
        <v>50</v>
      </c>
      <c r="K66" s="484">
        <v>50</v>
      </c>
      <c r="L66" s="484">
        <v>50</v>
      </c>
      <c r="M66" s="484">
        <v>50</v>
      </c>
      <c r="N66" s="484">
        <v>50</v>
      </c>
      <c r="O66" t="s">
        <v>1184</v>
      </c>
      <c r="Q66" s="917">
        <v>50</v>
      </c>
    </row>
    <row r="67" spans="1:17">
      <c r="A67" s="29"/>
      <c r="B67" s="29" t="str">
        <f>nmProd3&amp;" Price"</f>
        <v>Personal Computing Price</v>
      </c>
      <c r="C67" s="29"/>
      <c r="D67" s="29"/>
      <c r="E67" s="484">
        <v>320</v>
      </c>
      <c r="F67" s="484">
        <v>320</v>
      </c>
      <c r="G67" s="484">
        <v>320</v>
      </c>
      <c r="H67" s="484">
        <v>320</v>
      </c>
      <c r="I67" s="484">
        <v>320</v>
      </c>
      <c r="J67" s="484">
        <v>320</v>
      </c>
      <c r="K67" s="484">
        <v>320</v>
      </c>
      <c r="L67" s="484">
        <v>320</v>
      </c>
      <c r="M67" s="484">
        <v>320</v>
      </c>
      <c r="N67" s="484">
        <v>320</v>
      </c>
      <c r="O67" t="s">
        <v>1185</v>
      </c>
      <c r="Q67" s="917">
        <v>320</v>
      </c>
    </row>
    <row r="68" spans="1:17">
      <c r="A68" s="29"/>
      <c r="B68" s="29"/>
      <c r="C68" s="29"/>
      <c r="D68" s="29"/>
      <c r="E68" s="489"/>
      <c r="F68" s="489"/>
      <c r="G68" s="489"/>
      <c r="H68" s="489"/>
      <c r="I68" s="489"/>
      <c r="J68" s="489"/>
      <c r="K68" s="489"/>
      <c r="L68" s="489"/>
      <c r="M68" s="489"/>
      <c r="N68" s="489"/>
      <c r="Q68" s="914"/>
    </row>
    <row r="69" spans="1:17">
      <c r="A69" s="29"/>
      <c r="B69" s="29" t="str">
        <f>nmSkill1</f>
        <v>Technical Expertise</v>
      </c>
      <c r="C69" s="29"/>
      <c r="D69" s="29"/>
      <c r="E69" s="37">
        <v>8</v>
      </c>
      <c r="F69" s="37">
        <v>8</v>
      </c>
      <c r="G69" s="37">
        <v>8</v>
      </c>
      <c r="H69" s="37">
        <v>8</v>
      </c>
      <c r="I69" s="37">
        <v>8</v>
      </c>
      <c r="J69" s="37">
        <v>8</v>
      </c>
      <c r="K69" s="37">
        <v>8</v>
      </c>
      <c r="L69" s="37">
        <v>8</v>
      </c>
      <c r="M69" s="37">
        <v>8</v>
      </c>
      <c r="N69" s="37">
        <v>8</v>
      </c>
      <c r="O69" t="s">
        <v>2600</v>
      </c>
      <c r="Q69" s="914">
        <v>8</v>
      </c>
    </row>
    <row r="70" spans="1:17">
      <c r="A70" s="29"/>
      <c r="B70" s="29" t="str">
        <f>nmSkill2</f>
        <v>Consultative Skills</v>
      </c>
      <c r="C70" s="29"/>
      <c r="D70" s="29"/>
      <c r="E70" s="37">
        <v>5</v>
      </c>
      <c r="F70" s="37">
        <v>5</v>
      </c>
      <c r="G70" s="37">
        <v>5</v>
      </c>
      <c r="H70" s="37">
        <v>5</v>
      </c>
      <c r="I70" s="37">
        <v>5</v>
      </c>
      <c r="J70" s="37">
        <v>5</v>
      </c>
      <c r="K70" s="37">
        <v>5</v>
      </c>
      <c r="L70" s="37">
        <v>5</v>
      </c>
      <c r="M70" s="37">
        <v>5</v>
      </c>
      <c r="N70" s="37">
        <v>5</v>
      </c>
      <c r="O70" t="s">
        <v>2601</v>
      </c>
      <c r="Q70" s="914">
        <v>5</v>
      </c>
    </row>
    <row r="71" spans="1:17">
      <c r="B71" s="29" t="str">
        <f>nmSkill3</f>
        <v>Industry Expertise</v>
      </c>
      <c r="E71" s="19">
        <v>2</v>
      </c>
      <c r="F71" s="19">
        <v>2</v>
      </c>
      <c r="G71" s="19">
        <v>2</v>
      </c>
      <c r="H71" s="19">
        <v>2</v>
      </c>
      <c r="I71" s="19">
        <v>2</v>
      </c>
      <c r="J71" s="19">
        <v>2</v>
      </c>
      <c r="K71" s="19">
        <v>2</v>
      </c>
      <c r="L71" s="19">
        <v>2</v>
      </c>
      <c r="M71" s="19">
        <v>2</v>
      </c>
      <c r="N71" s="19">
        <v>2</v>
      </c>
      <c r="O71" t="s">
        <v>2602</v>
      </c>
      <c r="Q71" s="914">
        <v>2</v>
      </c>
    </row>
    <row r="72" spans="1:17">
      <c r="Q72" s="914"/>
    </row>
    <row r="73" spans="1:17">
      <c r="B73" t="s">
        <v>420</v>
      </c>
      <c r="E73" s="19">
        <v>250</v>
      </c>
      <c r="F73" s="19">
        <v>250</v>
      </c>
      <c r="G73" s="19">
        <v>250</v>
      </c>
      <c r="H73" s="19">
        <v>250</v>
      </c>
      <c r="I73" s="19">
        <v>250</v>
      </c>
      <c r="J73" s="19">
        <v>250</v>
      </c>
      <c r="K73" s="19">
        <v>250</v>
      </c>
      <c r="L73" s="19">
        <v>250</v>
      </c>
      <c r="M73" s="19">
        <v>250</v>
      </c>
      <c r="N73" s="19">
        <v>250</v>
      </c>
      <c r="O73" t="s">
        <v>1186</v>
      </c>
      <c r="Q73" s="914">
        <v>250</v>
      </c>
    </row>
    <row r="74" spans="1:17">
      <c r="B74" t="s">
        <v>421</v>
      </c>
      <c r="E74" s="19">
        <v>125</v>
      </c>
      <c r="F74" s="19">
        <v>125</v>
      </c>
      <c r="G74" s="19">
        <v>125</v>
      </c>
      <c r="H74" s="19">
        <v>125</v>
      </c>
      <c r="I74" s="19">
        <v>125</v>
      </c>
      <c r="J74" s="19">
        <v>125</v>
      </c>
      <c r="K74" s="19">
        <v>125</v>
      </c>
      <c r="L74" s="19">
        <v>125</v>
      </c>
      <c r="M74" s="19">
        <v>125</v>
      </c>
      <c r="N74" s="19">
        <v>125</v>
      </c>
      <c r="O74" t="s">
        <v>1187</v>
      </c>
      <c r="Q74" s="914">
        <v>125</v>
      </c>
    </row>
    <row r="75" spans="1:17">
      <c r="B75" t="s">
        <v>1778</v>
      </c>
      <c r="E75" s="19">
        <v>90</v>
      </c>
      <c r="F75" s="19">
        <v>90</v>
      </c>
      <c r="G75" s="19">
        <v>90</v>
      </c>
      <c r="H75" s="19">
        <v>90</v>
      </c>
      <c r="I75" s="19">
        <v>90</v>
      </c>
      <c r="J75" s="19">
        <v>90</v>
      </c>
      <c r="K75" s="19">
        <v>90</v>
      </c>
      <c r="L75" s="19">
        <v>90</v>
      </c>
      <c r="M75" s="19">
        <v>90</v>
      </c>
      <c r="N75" s="19">
        <v>90</v>
      </c>
      <c r="O75" t="s">
        <v>2538</v>
      </c>
      <c r="Q75" s="914">
        <v>90</v>
      </c>
    </row>
    <row r="76" spans="1:17">
      <c r="Q76" s="914"/>
    </row>
    <row r="77" spans="1:17">
      <c r="B77" t="s">
        <v>552</v>
      </c>
      <c r="E77" s="476">
        <v>0.55000000000000004</v>
      </c>
      <c r="F77" s="476">
        <v>0.55000000000000004</v>
      </c>
      <c r="G77" s="476">
        <v>0.55000000000000004</v>
      </c>
      <c r="H77" s="476">
        <v>0.55000000000000004</v>
      </c>
      <c r="I77" s="476">
        <v>0.55000000000000004</v>
      </c>
      <c r="J77" s="476">
        <v>0.55000000000000004</v>
      </c>
      <c r="K77" s="476">
        <v>0.55000000000000004</v>
      </c>
      <c r="L77" s="476">
        <v>0.55000000000000004</v>
      </c>
      <c r="M77" s="476">
        <v>0.55000000000000004</v>
      </c>
      <c r="N77" s="476">
        <v>0.55000000000000004</v>
      </c>
      <c r="O77" t="s">
        <v>2799</v>
      </c>
      <c r="Q77" s="916">
        <v>0.5</v>
      </c>
    </row>
    <row r="78" spans="1:17">
      <c r="B78" t="str">
        <f>nmProd1&amp;" Marketing Budget Pct"</f>
        <v>Productivity &amp; Business Marketing Budget Pct</v>
      </c>
      <c r="E78" s="476">
        <v>0.4</v>
      </c>
      <c r="F78" s="476">
        <v>0.4</v>
      </c>
      <c r="G78" s="476">
        <v>0.4</v>
      </c>
      <c r="H78" s="476">
        <v>0.4</v>
      </c>
      <c r="I78" s="476">
        <v>0.4</v>
      </c>
      <c r="J78" s="476">
        <v>0.4</v>
      </c>
      <c r="K78" s="476">
        <v>0.4</v>
      </c>
      <c r="L78" s="476">
        <v>0.4</v>
      </c>
      <c r="M78" s="476">
        <v>0.4</v>
      </c>
      <c r="N78" s="476">
        <v>0.4</v>
      </c>
      <c r="O78" t="s">
        <v>2800</v>
      </c>
      <c r="Q78" s="916">
        <v>0.4</v>
      </c>
    </row>
    <row r="79" spans="1:17">
      <c r="B79" t="str">
        <f>nmProd2&amp;" Marketing Budget Pct"</f>
        <v>Intelligent Cloud Marketing Budget Pct</v>
      </c>
      <c r="E79" s="476">
        <v>0.25</v>
      </c>
      <c r="F79" s="476">
        <v>0.25</v>
      </c>
      <c r="G79" s="476">
        <v>0.25</v>
      </c>
      <c r="H79" s="476">
        <v>0.25</v>
      </c>
      <c r="I79" s="476">
        <v>0.25</v>
      </c>
      <c r="J79" s="476">
        <v>0.25</v>
      </c>
      <c r="K79" s="476">
        <v>0.25</v>
      </c>
      <c r="L79" s="476">
        <v>0.25</v>
      </c>
      <c r="M79" s="476">
        <v>0.25</v>
      </c>
      <c r="N79" s="476">
        <v>0.25</v>
      </c>
      <c r="O79" t="s">
        <v>2801</v>
      </c>
      <c r="Q79" s="916">
        <v>0.2496969696969697</v>
      </c>
    </row>
    <row r="80" spans="1:17">
      <c r="B80" t="str">
        <f>nmProd3&amp;" Marketing Budget Pct"</f>
        <v>Personal Computing Marketing Budget Pct</v>
      </c>
      <c r="E80" s="476">
        <v>0.35</v>
      </c>
      <c r="F80" s="476">
        <v>0.35</v>
      </c>
      <c r="G80" s="476">
        <v>0.35</v>
      </c>
      <c r="H80" s="476">
        <v>0.35</v>
      </c>
      <c r="I80" s="476">
        <v>0.35</v>
      </c>
      <c r="J80" s="476">
        <v>0.35</v>
      </c>
      <c r="K80" s="476">
        <v>0.35</v>
      </c>
      <c r="L80" s="476">
        <v>0.35</v>
      </c>
      <c r="M80" s="476">
        <v>0.35</v>
      </c>
      <c r="N80" s="476">
        <v>0.35</v>
      </c>
      <c r="O80" t="s">
        <v>2802</v>
      </c>
      <c r="Q80" s="916">
        <v>0.35030303030303028</v>
      </c>
    </row>
    <row r="81" spans="2:17">
      <c r="Q81" s="914"/>
    </row>
    <row r="82" spans="2:17">
      <c r="B82" t="s">
        <v>552</v>
      </c>
      <c r="E82" s="496">
        <v>825000.00000000012</v>
      </c>
      <c r="F82" s="496">
        <v>825000.00000000012</v>
      </c>
      <c r="G82" s="496">
        <v>825000.00000000012</v>
      </c>
      <c r="H82" s="496">
        <v>825000.00000000012</v>
      </c>
      <c r="I82" s="496">
        <v>825000.00000000012</v>
      </c>
      <c r="J82" s="496">
        <v>825000.00000000012</v>
      </c>
      <c r="K82" s="496">
        <v>825000.00000000012</v>
      </c>
      <c r="L82" s="496">
        <v>825000.00000000012</v>
      </c>
      <c r="M82" s="496">
        <v>825000.00000000012</v>
      </c>
      <c r="N82" s="496">
        <v>825000.00000000012</v>
      </c>
      <c r="O82" t="s">
        <v>1188</v>
      </c>
      <c r="Q82" s="917">
        <v>825000</v>
      </c>
    </row>
    <row r="83" spans="2:17">
      <c r="B83" t="str">
        <f>nmProd1&amp;" Marketing Budget Pct"</f>
        <v>Productivity &amp; Business Marketing Budget Pct</v>
      </c>
      <c r="E83" s="496">
        <v>330000.00000000006</v>
      </c>
      <c r="F83" s="496">
        <v>330000.00000000006</v>
      </c>
      <c r="G83" s="496">
        <v>330000.00000000006</v>
      </c>
      <c r="H83" s="496">
        <v>330000.00000000006</v>
      </c>
      <c r="I83" s="496">
        <v>330000.00000000006</v>
      </c>
      <c r="J83" s="496">
        <v>330000.00000000006</v>
      </c>
      <c r="K83" s="496">
        <v>330000.00000000006</v>
      </c>
      <c r="L83" s="496">
        <v>330000.00000000006</v>
      </c>
      <c r="M83" s="496">
        <v>330000.00000000006</v>
      </c>
      <c r="N83" s="496">
        <v>330000.00000000006</v>
      </c>
      <c r="O83" t="s">
        <v>1189</v>
      </c>
      <c r="Q83" s="917">
        <v>330000</v>
      </c>
    </row>
    <row r="84" spans="2:17">
      <c r="B84" t="str">
        <f>nmProd2&amp;" Marketing Budget Pct"</f>
        <v>Intelligent Cloud Marketing Budget Pct</v>
      </c>
      <c r="E84" s="496">
        <v>206250.00000000003</v>
      </c>
      <c r="F84" s="496">
        <v>206250.00000000003</v>
      </c>
      <c r="G84" s="496">
        <v>206250.00000000003</v>
      </c>
      <c r="H84" s="496">
        <v>206250.00000000003</v>
      </c>
      <c r="I84" s="496">
        <v>206250.00000000003</v>
      </c>
      <c r="J84" s="496">
        <v>206250.00000000003</v>
      </c>
      <c r="K84" s="496">
        <v>206250.00000000003</v>
      </c>
      <c r="L84" s="496">
        <v>206250.00000000003</v>
      </c>
      <c r="M84" s="496">
        <v>206250.00000000003</v>
      </c>
      <c r="N84" s="496">
        <v>206250.00000000003</v>
      </c>
      <c r="O84" t="s">
        <v>1190</v>
      </c>
      <c r="Q84" s="917">
        <v>206000</v>
      </c>
    </row>
    <row r="85" spans="2:17">
      <c r="B85" t="str">
        <f>nmProd3&amp;" Marketing Budget Pct"</f>
        <v>Personal Computing Marketing Budget Pct</v>
      </c>
      <c r="E85" s="496">
        <v>288750</v>
      </c>
      <c r="F85" s="496">
        <v>288750</v>
      </c>
      <c r="G85" s="496">
        <v>288750</v>
      </c>
      <c r="H85" s="496">
        <v>288750</v>
      </c>
      <c r="I85" s="496">
        <v>288750</v>
      </c>
      <c r="J85" s="496">
        <v>288750</v>
      </c>
      <c r="K85" s="496">
        <v>288750</v>
      </c>
      <c r="L85" s="496">
        <v>288750</v>
      </c>
      <c r="M85" s="496">
        <v>288750</v>
      </c>
      <c r="N85" s="496">
        <v>288750</v>
      </c>
      <c r="O85" t="s">
        <v>1191</v>
      </c>
      <c r="Q85" s="917">
        <v>289000</v>
      </c>
    </row>
    <row r="86" spans="2:17">
      <c r="Q86" s="914"/>
    </row>
    <row r="87" spans="2:17">
      <c r="B87" t="s">
        <v>495</v>
      </c>
      <c r="E87" s="477">
        <v>5</v>
      </c>
      <c r="F87" s="477">
        <v>5</v>
      </c>
      <c r="G87" s="477">
        <v>5</v>
      </c>
      <c r="H87" s="477">
        <v>5</v>
      </c>
      <c r="I87" s="477">
        <v>5</v>
      </c>
      <c r="J87" s="477">
        <v>5</v>
      </c>
      <c r="K87" s="477">
        <v>5</v>
      </c>
      <c r="L87" s="477">
        <v>5</v>
      </c>
      <c r="M87" s="477">
        <v>5</v>
      </c>
      <c r="N87" s="477">
        <v>5</v>
      </c>
      <c r="O87" t="s">
        <v>1207</v>
      </c>
      <c r="Q87" s="914">
        <v>5</v>
      </c>
    </row>
    <row r="88" spans="2:17">
      <c r="B88" t="s">
        <v>426</v>
      </c>
      <c r="E88" s="477">
        <v>4</v>
      </c>
      <c r="F88" s="477">
        <v>4</v>
      </c>
      <c r="G88" s="477">
        <v>4</v>
      </c>
      <c r="H88" s="477">
        <v>4</v>
      </c>
      <c r="I88" s="477">
        <v>4</v>
      </c>
      <c r="J88" s="477">
        <v>4</v>
      </c>
      <c r="K88" s="477">
        <v>4</v>
      </c>
      <c r="L88" s="477">
        <v>4</v>
      </c>
      <c r="M88" s="477">
        <v>4</v>
      </c>
      <c r="N88" s="477">
        <v>4</v>
      </c>
      <c r="O88" t="s">
        <v>1208</v>
      </c>
      <c r="Q88" s="914">
        <v>4</v>
      </c>
    </row>
    <row r="89" spans="2:17">
      <c r="B89" t="s">
        <v>425</v>
      </c>
      <c r="E89" s="477">
        <v>3</v>
      </c>
      <c r="F89" s="477">
        <v>3</v>
      </c>
      <c r="G89" s="477">
        <v>3</v>
      </c>
      <c r="H89" s="477">
        <v>3</v>
      </c>
      <c r="I89" s="477">
        <v>3</v>
      </c>
      <c r="J89" s="477">
        <v>3</v>
      </c>
      <c r="K89" s="477">
        <v>3</v>
      </c>
      <c r="L89" s="477">
        <v>3</v>
      </c>
      <c r="M89" s="477">
        <v>3</v>
      </c>
      <c r="N89" s="477">
        <v>3</v>
      </c>
      <c r="O89" t="s">
        <v>1209</v>
      </c>
      <c r="Q89" s="914">
        <v>3</v>
      </c>
    </row>
    <row r="90" spans="2:17">
      <c r="Q90" s="914"/>
    </row>
    <row r="91" spans="2:17">
      <c r="B91" t="str">
        <f>nmPartner1&amp;" Percent"</f>
        <v>ISV Percent</v>
      </c>
      <c r="E91" s="476">
        <v>0.25</v>
      </c>
      <c r="F91" s="476">
        <v>0.25</v>
      </c>
      <c r="G91" s="476">
        <v>0.25</v>
      </c>
      <c r="H91" s="476">
        <v>0.25</v>
      </c>
      <c r="I91" s="476">
        <v>0.25</v>
      </c>
      <c r="J91" s="476">
        <v>0.25</v>
      </c>
      <c r="K91" s="476">
        <v>0.25</v>
      </c>
      <c r="L91" s="476">
        <v>0.25</v>
      </c>
      <c r="M91" s="476">
        <v>0.25</v>
      </c>
      <c r="N91" s="476">
        <v>0.25</v>
      </c>
      <c r="O91" t="s">
        <v>1192</v>
      </c>
      <c r="Q91" s="916">
        <v>0.25</v>
      </c>
    </row>
    <row r="92" spans="2:17">
      <c r="B92" t="str">
        <f>nmPartner2&amp;" Percent"</f>
        <v>Systems Integrators Percent</v>
      </c>
      <c r="E92" s="476">
        <v>0.2</v>
      </c>
      <c r="F92" s="476">
        <v>0.2</v>
      </c>
      <c r="G92" s="476">
        <v>0.2</v>
      </c>
      <c r="H92" s="476">
        <v>0.2</v>
      </c>
      <c r="I92" s="476">
        <v>0.2</v>
      </c>
      <c r="J92" s="476">
        <v>0.2</v>
      </c>
      <c r="K92" s="476">
        <v>0.2</v>
      </c>
      <c r="L92" s="476">
        <v>0.2</v>
      </c>
      <c r="M92" s="476">
        <v>0.2</v>
      </c>
      <c r="N92" s="476">
        <v>0.2</v>
      </c>
      <c r="O92" t="s">
        <v>1193</v>
      </c>
      <c r="Q92" s="916">
        <v>0.2</v>
      </c>
    </row>
    <row r="93" spans="2:17">
      <c r="B93" t="str">
        <f>nmPartner3&amp;" Percent"</f>
        <v>Managed Services Percent</v>
      </c>
      <c r="E93" s="476">
        <v>0.22</v>
      </c>
      <c r="F93" s="476">
        <v>0.22</v>
      </c>
      <c r="G93" s="476">
        <v>0.22</v>
      </c>
      <c r="H93" s="476">
        <v>0.22</v>
      </c>
      <c r="I93" s="476">
        <v>0.22</v>
      </c>
      <c r="J93" s="476">
        <v>0.22</v>
      </c>
      <c r="K93" s="476">
        <v>0.22</v>
      </c>
      <c r="L93" s="476">
        <v>0.22</v>
      </c>
      <c r="M93" s="476">
        <v>0.22</v>
      </c>
      <c r="N93" s="476">
        <v>0.22</v>
      </c>
      <c r="O93" t="s">
        <v>1194</v>
      </c>
      <c r="Q93" s="916">
        <v>0.22</v>
      </c>
    </row>
    <row r="94" spans="2:17">
      <c r="B94" t="str">
        <f>nmPartner4&amp;" Percent"</f>
        <v>Channels Percent</v>
      </c>
      <c r="E94" s="476">
        <v>0.33</v>
      </c>
      <c r="F94" s="476">
        <v>0.33</v>
      </c>
      <c r="G94" s="476">
        <v>0.33</v>
      </c>
      <c r="H94" s="476">
        <v>0.33</v>
      </c>
      <c r="I94" s="476">
        <v>0.33</v>
      </c>
      <c r="J94" s="476">
        <v>0.33</v>
      </c>
      <c r="K94" s="476">
        <v>0.33</v>
      </c>
      <c r="L94" s="476">
        <v>0.33</v>
      </c>
      <c r="M94" s="476">
        <v>0.33</v>
      </c>
      <c r="N94" s="476">
        <v>0.33</v>
      </c>
      <c r="O94" t="s">
        <v>1195</v>
      </c>
      <c r="Q94" s="916">
        <v>0.33000000000000007</v>
      </c>
    </row>
    <row r="95" spans="2:17">
      <c r="Q95" s="914"/>
    </row>
    <row r="96" spans="2:17">
      <c r="B96" t="s">
        <v>1245</v>
      </c>
      <c r="E96" s="496">
        <v>2500000</v>
      </c>
      <c r="F96" s="496">
        <v>2500000</v>
      </c>
      <c r="G96" s="496">
        <v>2500000</v>
      </c>
      <c r="H96" s="496">
        <v>2500000</v>
      </c>
      <c r="I96" s="496">
        <v>2500000</v>
      </c>
      <c r="J96" s="496">
        <v>2500000</v>
      </c>
      <c r="K96" s="496">
        <v>2500000</v>
      </c>
      <c r="L96" s="496">
        <v>2500000</v>
      </c>
      <c r="M96" s="496">
        <v>2500000</v>
      </c>
      <c r="N96" s="496">
        <v>2500000</v>
      </c>
      <c r="O96" t="s">
        <v>1256</v>
      </c>
      <c r="Q96" s="917">
        <v>2500000</v>
      </c>
    </row>
    <row r="97" spans="1:17">
      <c r="B97" t="str">
        <f>nmPartner1&amp;" Budget"</f>
        <v>ISV Budget</v>
      </c>
      <c r="E97" s="496">
        <v>625000</v>
      </c>
      <c r="F97" s="496">
        <v>625000</v>
      </c>
      <c r="G97" s="496">
        <v>625000</v>
      </c>
      <c r="H97" s="496">
        <v>625000</v>
      </c>
      <c r="I97" s="496">
        <v>625000</v>
      </c>
      <c r="J97" s="496">
        <v>625000</v>
      </c>
      <c r="K97" s="496">
        <v>625000</v>
      </c>
      <c r="L97" s="496">
        <v>625000</v>
      </c>
      <c r="M97" s="496">
        <v>625000</v>
      </c>
      <c r="N97" s="496">
        <v>625000</v>
      </c>
      <c r="O97" t="s">
        <v>1257</v>
      </c>
      <c r="Q97" s="917">
        <v>500000</v>
      </c>
    </row>
    <row r="98" spans="1:17">
      <c r="B98" t="str">
        <f>nmPartner2&amp;" Budget"</f>
        <v>Systems Integrators Budget</v>
      </c>
      <c r="E98" s="496">
        <v>500000</v>
      </c>
      <c r="F98" s="496">
        <v>500000</v>
      </c>
      <c r="G98" s="496">
        <v>500000</v>
      </c>
      <c r="H98" s="496">
        <v>500000</v>
      </c>
      <c r="I98" s="496">
        <v>500000</v>
      </c>
      <c r="J98" s="496">
        <v>500000</v>
      </c>
      <c r="K98" s="496">
        <v>500000</v>
      </c>
      <c r="L98" s="496">
        <v>500000</v>
      </c>
      <c r="M98" s="496">
        <v>500000</v>
      </c>
      <c r="N98" s="496">
        <v>500000</v>
      </c>
      <c r="O98" t="s">
        <v>1258</v>
      </c>
      <c r="Q98" s="917">
        <v>375000</v>
      </c>
    </row>
    <row r="99" spans="1:17">
      <c r="B99" t="str">
        <f>nmPartner3&amp;" Budget"</f>
        <v>Managed Services Budget</v>
      </c>
      <c r="E99" s="496">
        <v>550000</v>
      </c>
      <c r="F99" s="496">
        <v>550000</v>
      </c>
      <c r="G99" s="496">
        <v>550000</v>
      </c>
      <c r="H99" s="496">
        <v>550000</v>
      </c>
      <c r="I99" s="496">
        <v>550000</v>
      </c>
      <c r="J99" s="496">
        <v>550000</v>
      </c>
      <c r="K99" s="496">
        <v>550000</v>
      </c>
      <c r="L99" s="496">
        <v>550000</v>
      </c>
      <c r="M99" s="496">
        <v>550000</v>
      </c>
      <c r="N99" s="496">
        <v>550000</v>
      </c>
      <c r="O99" t="s">
        <v>1259</v>
      </c>
      <c r="Q99" s="917">
        <v>425000.00000000006</v>
      </c>
    </row>
    <row r="100" spans="1:17">
      <c r="B100" t="str">
        <f>nmPartner4&amp;" Budget"</f>
        <v>Channels Budget</v>
      </c>
      <c r="E100" s="496">
        <v>825000.00000000023</v>
      </c>
      <c r="F100" s="496">
        <v>825000.00000000023</v>
      </c>
      <c r="G100" s="496">
        <v>825000.00000000023</v>
      </c>
      <c r="H100" s="496">
        <v>825000.00000000023</v>
      </c>
      <c r="I100" s="496">
        <v>825000.00000000023</v>
      </c>
      <c r="J100" s="496">
        <v>825000.00000000023</v>
      </c>
      <c r="K100" s="496">
        <v>825000.00000000023</v>
      </c>
      <c r="L100" s="496">
        <v>825000.00000000023</v>
      </c>
      <c r="M100" s="496">
        <v>825000.00000000023</v>
      </c>
      <c r="N100" s="496">
        <v>825000.00000000023</v>
      </c>
      <c r="O100" t="s">
        <v>1260</v>
      </c>
      <c r="Q100" s="917">
        <v>550000</v>
      </c>
    </row>
    <row r="101" spans="1:17">
      <c r="Q101" s="914"/>
    </row>
    <row r="102" spans="1:17">
      <c r="B102" t="s">
        <v>1330</v>
      </c>
      <c r="E102" s="477">
        <v>0</v>
      </c>
      <c r="F102" s="477">
        <v>0</v>
      </c>
      <c r="G102" s="477">
        <v>0</v>
      </c>
      <c r="H102" s="477">
        <v>0</v>
      </c>
      <c r="I102" s="477">
        <v>0</v>
      </c>
      <c r="J102" s="477">
        <v>0</v>
      </c>
      <c r="K102" s="477">
        <v>0</v>
      </c>
      <c r="L102" s="477">
        <v>0</v>
      </c>
      <c r="M102" s="477">
        <v>0</v>
      </c>
      <c r="N102" s="477">
        <v>0</v>
      </c>
      <c r="O102" t="s">
        <v>1355</v>
      </c>
      <c r="Q102" s="914">
        <v>0</v>
      </c>
    </row>
    <row r="103" spans="1:17">
      <c r="B103" t="str">
        <f>nmPartner1&amp;" FTEs"</f>
        <v>ISV FTEs</v>
      </c>
      <c r="E103" s="477">
        <v>0</v>
      </c>
      <c r="F103" s="477">
        <v>0</v>
      </c>
      <c r="G103" s="477">
        <v>0</v>
      </c>
      <c r="H103" s="477">
        <v>0</v>
      </c>
      <c r="I103" s="477">
        <v>0</v>
      </c>
      <c r="J103" s="477">
        <v>0</v>
      </c>
      <c r="K103" s="477">
        <v>0</v>
      </c>
      <c r="L103" s="477">
        <v>0</v>
      </c>
      <c r="M103" s="477">
        <v>0</v>
      </c>
      <c r="N103" s="477">
        <v>0</v>
      </c>
      <c r="O103" t="s">
        <v>1356</v>
      </c>
      <c r="Q103" s="914">
        <v>0</v>
      </c>
    </row>
    <row r="104" spans="1:17">
      <c r="B104" t="str">
        <f>nmPartner2&amp;" FTEs"</f>
        <v>Systems Integrators FTEs</v>
      </c>
      <c r="E104" s="477">
        <v>0</v>
      </c>
      <c r="F104" s="477">
        <v>0</v>
      </c>
      <c r="G104" s="477">
        <v>0</v>
      </c>
      <c r="H104" s="477">
        <v>0</v>
      </c>
      <c r="I104" s="477">
        <v>0</v>
      </c>
      <c r="J104" s="477">
        <v>0</v>
      </c>
      <c r="K104" s="477">
        <v>0</v>
      </c>
      <c r="L104" s="477">
        <v>0</v>
      </c>
      <c r="M104" s="477">
        <v>0</v>
      </c>
      <c r="N104" s="477">
        <v>0</v>
      </c>
      <c r="O104" t="s">
        <v>1357</v>
      </c>
      <c r="Q104" s="914">
        <v>0</v>
      </c>
    </row>
    <row r="105" spans="1:17">
      <c r="B105" t="str">
        <f>nmPartner3&amp;" FTEs"</f>
        <v>Managed Services FTEs</v>
      </c>
      <c r="E105" s="477">
        <v>0</v>
      </c>
      <c r="F105" s="477">
        <v>0</v>
      </c>
      <c r="G105" s="477">
        <v>0</v>
      </c>
      <c r="H105" s="477">
        <v>0</v>
      </c>
      <c r="I105" s="477">
        <v>0</v>
      </c>
      <c r="J105" s="477">
        <v>0</v>
      </c>
      <c r="K105" s="477">
        <v>0</v>
      </c>
      <c r="L105" s="477">
        <v>0</v>
      </c>
      <c r="M105" s="477">
        <v>0</v>
      </c>
      <c r="N105" s="477">
        <v>0</v>
      </c>
      <c r="O105" t="s">
        <v>1358</v>
      </c>
      <c r="Q105" s="914">
        <v>0</v>
      </c>
    </row>
    <row r="106" spans="1:17">
      <c r="B106" t="str">
        <f>nmPartner4&amp;" FTEs"</f>
        <v>Channels FTEs</v>
      </c>
      <c r="E106" s="477">
        <v>0</v>
      </c>
      <c r="F106" s="477">
        <v>0</v>
      </c>
      <c r="G106" s="477">
        <v>0</v>
      </c>
      <c r="H106" s="477">
        <v>0</v>
      </c>
      <c r="I106" s="477">
        <v>0</v>
      </c>
      <c r="J106" s="477">
        <v>0</v>
      </c>
      <c r="K106" s="477">
        <v>0</v>
      </c>
      <c r="L106" s="477">
        <v>0</v>
      </c>
      <c r="M106" s="477">
        <v>0</v>
      </c>
      <c r="N106" s="477">
        <v>0</v>
      </c>
      <c r="O106" t="s">
        <v>1359</v>
      </c>
      <c r="Q106" s="914">
        <v>0</v>
      </c>
    </row>
    <row r="107" spans="1:17" s="497" customFormat="1">
      <c r="E107" s="499"/>
      <c r="F107" s="498"/>
      <c r="G107" s="498"/>
      <c r="H107" s="498"/>
      <c r="I107" s="498"/>
      <c r="J107" s="498"/>
      <c r="K107" s="498"/>
      <c r="L107" s="498"/>
      <c r="M107" s="498"/>
      <c r="N107" s="498"/>
      <c r="Q107" s="918"/>
    </row>
    <row r="108" spans="1:17">
      <c r="A108" s="29" t="s">
        <v>365</v>
      </c>
      <c r="B108" s="29"/>
      <c r="C108" s="29"/>
      <c r="D108" s="29"/>
      <c r="E108" s="37"/>
      <c r="F108" s="37"/>
      <c r="G108" s="37"/>
      <c r="H108" s="37"/>
      <c r="I108" s="37"/>
      <c r="J108" s="37"/>
      <c r="K108" s="37"/>
      <c r="L108" s="37"/>
      <c r="M108" s="37"/>
      <c r="N108" s="37"/>
      <c r="Q108" s="914"/>
    </row>
    <row r="109" spans="1:17">
      <c r="A109" s="29"/>
      <c r="B109" s="29" t="str">
        <f>nmProd1&amp;" Price"</f>
        <v>Productivity &amp; Business Price</v>
      </c>
      <c r="C109" s="29"/>
      <c r="D109" s="29"/>
      <c r="E109" s="484">
        <v>15</v>
      </c>
      <c r="F109" s="484">
        <v>15</v>
      </c>
      <c r="G109" s="484">
        <v>15</v>
      </c>
      <c r="H109" s="484">
        <v>15</v>
      </c>
      <c r="I109" s="484">
        <v>15</v>
      </c>
      <c r="J109" s="484">
        <v>15</v>
      </c>
      <c r="K109" s="484">
        <v>15</v>
      </c>
      <c r="L109" s="484">
        <v>15</v>
      </c>
      <c r="M109" s="484">
        <v>15</v>
      </c>
      <c r="N109" s="484">
        <v>15</v>
      </c>
      <c r="O109" t="s">
        <v>1196</v>
      </c>
      <c r="Q109" s="917">
        <v>15</v>
      </c>
    </row>
    <row r="110" spans="1:17">
      <c r="A110" s="29"/>
      <c r="B110" s="29" t="str">
        <f>nmProd3&amp;" Price"</f>
        <v>Personal Computing Price</v>
      </c>
      <c r="C110" s="29"/>
      <c r="D110" s="29"/>
      <c r="E110" s="484">
        <v>320</v>
      </c>
      <c r="F110" s="484">
        <v>320</v>
      </c>
      <c r="G110" s="484">
        <v>320</v>
      </c>
      <c r="H110" s="484">
        <v>320</v>
      </c>
      <c r="I110" s="484">
        <v>320</v>
      </c>
      <c r="J110" s="484">
        <v>320</v>
      </c>
      <c r="K110" s="484">
        <v>320</v>
      </c>
      <c r="L110" s="484">
        <v>320</v>
      </c>
      <c r="M110" s="484">
        <v>320</v>
      </c>
      <c r="N110" s="484">
        <v>320</v>
      </c>
      <c r="O110" t="s">
        <v>1197</v>
      </c>
      <c r="Q110" s="917">
        <v>320</v>
      </c>
    </row>
    <row r="111" spans="1:17">
      <c r="A111" s="29"/>
      <c r="B111" s="29"/>
      <c r="C111" s="29"/>
      <c r="D111" s="29"/>
      <c r="E111" s="489"/>
      <c r="F111" s="489"/>
      <c r="G111" s="489"/>
      <c r="H111" s="489"/>
      <c r="I111" s="489"/>
      <c r="J111" s="489"/>
      <c r="K111" s="489"/>
      <c r="L111" s="489"/>
      <c r="M111" s="489"/>
      <c r="N111" s="489"/>
      <c r="Q111" s="914"/>
    </row>
    <row r="112" spans="1:17">
      <c r="A112" s="29"/>
      <c r="B112" s="29" t="str">
        <f>nmSkill1</f>
        <v>Technical Expertise</v>
      </c>
      <c r="C112" s="29"/>
      <c r="D112" s="29"/>
      <c r="E112" s="37">
        <v>8</v>
      </c>
      <c r="F112" s="37">
        <v>8</v>
      </c>
      <c r="G112" s="37">
        <v>8</v>
      </c>
      <c r="H112" s="37">
        <v>8</v>
      </c>
      <c r="I112" s="37">
        <v>8</v>
      </c>
      <c r="J112" s="37">
        <v>8</v>
      </c>
      <c r="K112" s="37">
        <v>8</v>
      </c>
      <c r="L112" s="37">
        <v>8</v>
      </c>
      <c r="M112" s="37">
        <v>8</v>
      </c>
      <c r="N112" s="37">
        <v>8</v>
      </c>
      <c r="O112" t="s">
        <v>2603</v>
      </c>
      <c r="Q112" s="914">
        <v>8</v>
      </c>
    </row>
    <row r="113" spans="1:17">
      <c r="A113" s="29"/>
      <c r="B113" s="29" t="str">
        <f>nmSkill2</f>
        <v>Consultative Skills</v>
      </c>
      <c r="C113" s="29"/>
      <c r="D113" s="29"/>
      <c r="E113" s="37">
        <v>5</v>
      </c>
      <c r="F113" s="37">
        <v>5</v>
      </c>
      <c r="G113" s="37">
        <v>5</v>
      </c>
      <c r="H113" s="37">
        <v>5</v>
      </c>
      <c r="I113" s="37">
        <v>5</v>
      </c>
      <c r="J113" s="37">
        <v>5</v>
      </c>
      <c r="K113" s="37">
        <v>5</v>
      </c>
      <c r="L113" s="37">
        <v>5</v>
      </c>
      <c r="M113" s="37">
        <v>5</v>
      </c>
      <c r="N113" s="37">
        <v>5</v>
      </c>
      <c r="O113" t="s">
        <v>2604</v>
      </c>
      <c r="Q113" s="914">
        <v>5</v>
      </c>
    </row>
    <row r="114" spans="1:17">
      <c r="Q114" s="914"/>
    </row>
    <row r="115" spans="1:17">
      <c r="B115" t="s">
        <v>420</v>
      </c>
      <c r="E115" s="19">
        <v>190</v>
      </c>
      <c r="F115" s="19">
        <v>190</v>
      </c>
      <c r="G115" s="19">
        <v>190</v>
      </c>
      <c r="H115" s="19">
        <v>190</v>
      </c>
      <c r="I115" s="19">
        <v>190</v>
      </c>
      <c r="J115" s="19">
        <v>190</v>
      </c>
      <c r="K115" s="19">
        <v>190</v>
      </c>
      <c r="L115" s="19">
        <v>190</v>
      </c>
      <c r="M115" s="19">
        <v>190</v>
      </c>
      <c r="N115" s="19">
        <v>190</v>
      </c>
      <c r="O115" t="s">
        <v>1198</v>
      </c>
      <c r="Q115" s="914">
        <v>190</v>
      </c>
    </row>
    <row r="116" spans="1:17">
      <c r="B116" t="s">
        <v>421</v>
      </c>
      <c r="E116" s="19">
        <v>90</v>
      </c>
      <c r="F116" s="19">
        <v>90</v>
      </c>
      <c r="G116" s="19">
        <v>90</v>
      </c>
      <c r="H116" s="19">
        <v>90</v>
      </c>
      <c r="I116" s="19">
        <v>90</v>
      </c>
      <c r="J116" s="19">
        <v>90</v>
      </c>
      <c r="K116" s="19">
        <v>90</v>
      </c>
      <c r="L116" s="19">
        <v>90</v>
      </c>
      <c r="M116" s="19">
        <v>90</v>
      </c>
      <c r="N116" s="19">
        <v>90</v>
      </c>
      <c r="O116" t="s">
        <v>1199</v>
      </c>
      <c r="Q116" s="914">
        <v>90</v>
      </c>
    </row>
    <row r="117" spans="1:17">
      <c r="B117" t="s">
        <v>422</v>
      </c>
      <c r="E117" s="19">
        <v>110</v>
      </c>
      <c r="F117" s="19">
        <v>110</v>
      </c>
      <c r="G117" s="19">
        <v>110</v>
      </c>
      <c r="H117" s="19">
        <v>110</v>
      </c>
      <c r="I117" s="19">
        <v>110</v>
      </c>
      <c r="J117" s="19">
        <v>110</v>
      </c>
      <c r="K117" s="19">
        <v>110</v>
      </c>
      <c r="L117" s="19">
        <v>110</v>
      </c>
      <c r="M117" s="19">
        <v>110</v>
      </c>
      <c r="N117" s="19">
        <v>110</v>
      </c>
      <c r="O117" t="s">
        <v>1200</v>
      </c>
      <c r="Q117" s="914">
        <v>110</v>
      </c>
    </row>
    <row r="118" spans="1:17">
      <c r="Q118" s="914"/>
    </row>
    <row r="119" spans="1:17">
      <c r="B119" t="s">
        <v>1128</v>
      </c>
      <c r="E119" s="476">
        <v>0.55000000000000004</v>
      </c>
      <c r="F119" s="476">
        <v>0.55000000000000004</v>
      </c>
      <c r="G119" s="476">
        <v>0.55000000000000004</v>
      </c>
      <c r="H119" s="476">
        <v>0.55000000000000004</v>
      </c>
      <c r="I119" s="476">
        <v>0.55000000000000004</v>
      </c>
      <c r="J119" s="476">
        <v>0.55000000000000004</v>
      </c>
      <c r="K119" s="476">
        <v>0.55000000000000004</v>
      </c>
      <c r="L119" s="476">
        <v>0.55000000000000004</v>
      </c>
      <c r="M119" s="476">
        <v>0.55000000000000004</v>
      </c>
      <c r="N119" s="476">
        <v>0.55000000000000004</v>
      </c>
      <c r="O119" t="s">
        <v>2803</v>
      </c>
      <c r="Q119" s="916">
        <v>0.44999999999999996</v>
      </c>
    </row>
    <row r="120" spans="1:17">
      <c r="B120" t="str">
        <f>nmProd1&amp;" Marketing Budget Pct"</f>
        <v>Productivity &amp; Business Marketing Budget Pct</v>
      </c>
      <c r="E120" s="476">
        <v>0.4</v>
      </c>
      <c r="F120" s="476">
        <v>0.4</v>
      </c>
      <c r="G120" s="476">
        <v>0.4</v>
      </c>
      <c r="H120" s="476">
        <v>0.4</v>
      </c>
      <c r="I120" s="476">
        <v>0.4</v>
      </c>
      <c r="J120" s="476">
        <v>0.4</v>
      </c>
      <c r="K120" s="476">
        <v>0.4</v>
      </c>
      <c r="L120" s="476">
        <v>0.4</v>
      </c>
      <c r="M120" s="476">
        <v>0.4</v>
      </c>
      <c r="N120" s="476">
        <v>0.4</v>
      </c>
      <c r="O120" t="s">
        <v>2804</v>
      </c>
      <c r="Q120" s="916">
        <v>0.45</v>
      </c>
    </row>
    <row r="121" spans="1:17">
      <c r="B121" t="str">
        <f>nmProd3&amp;" Marketing Budget Pct"</f>
        <v>Personal Computing Marketing Budget Pct</v>
      </c>
      <c r="E121" s="476">
        <v>0.35</v>
      </c>
      <c r="F121" s="476">
        <v>0.35</v>
      </c>
      <c r="G121" s="476">
        <v>0.35</v>
      </c>
      <c r="H121" s="476">
        <v>0.35</v>
      </c>
      <c r="I121" s="476">
        <v>0.35</v>
      </c>
      <c r="J121" s="476">
        <v>0.35</v>
      </c>
      <c r="K121" s="476">
        <v>0.35</v>
      </c>
      <c r="L121" s="476">
        <v>0.35</v>
      </c>
      <c r="M121" s="476">
        <v>0.35</v>
      </c>
      <c r="N121" s="476">
        <v>0.35</v>
      </c>
      <c r="O121" t="s">
        <v>2805</v>
      </c>
      <c r="Q121" s="916">
        <v>0.55000000000000004</v>
      </c>
    </row>
    <row r="122" spans="1:17">
      <c r="Q122" s="914"/>
    </row>
    <row r="123" spans="1:17">
      <c r="B123" t="s">
        <v>1128</v>
      </c>
      <c r="E123" s="496">
        <v>674999.99999999988</v>
      </c>
      <c r="F123" s="496">
        <v>674999.99999999988</v>
      </c>
      <c r="G123" s="496">
        <v>674999.99999999988</v>
      </c>
      <c r="H123" s="496">
        <v>674999.99999999988</v>
      </c>
      <c r="I123" s="496">
        <v>674999.99999999988</v>
      </c>
      <c r="J123" s="496">
        <v>674999.99999999988</v>
      </c>
      <c r="K123" s="496">
        <v>674999.99999999988</v>
      </c>
      <c r="L123" s="496">
        <v>674999.99999999988</v>
      </c>
      <c r="M123" s="496">
        <v>674999.99999999988</v>
      </c>
      <c r="N123" s="496">
        <v>674999.99999999988</v>
      </c>
      <c r="O123" t="s">
        <v>1201</v>
      </c>
      <c r="Q123" s="917">
        <v>675000</v>
      </c>
    </row>
    <row r="124" spans="1:17">
      <c r="B124" t="str">
        <f>nmProd1&amp;" Marketing Budget Pct"</f>
        <v>Productivity &amp; Business Marketing Budget Pct</v>
      </c>
      <c r="E124" s="496">
        <v>303749.99999999994</v>
      </c>
      <c r="F124" s="496">
        <v>303749.99999999994</v>
      </c>
      <c r="G124" s="496">
        <v>303749.99999999994</v>
      </c>
      <c r="H124" s="496">
        <v>303749.99999999994</v>
      </c>
      <c r="I124" s="496">
        <v>303749.99999999994</v>
      </c>
      <c r="J124" s="496">
        <v>303749.99999999994</v>
      </c>
      <c r="K124" s="496">
        <v>303749.99999999994</v>
      </c>
      <c r="L124" s="496">
        <v>303749.99999999994</v>
      </c>
      <c r="M124" s="496">
        <v>303749.99999999994</v>
      </c>
      <c r="N124" s="496">
        <v>303749.99999999994</v>
      </c>
      <c r="O124" t="s">
        <v>1202</v>
      </c>
      <c r="Q124" s="917">
        <v>304000</v>
      </c>
    </row>
    <row r="125" spans="1:17">
      <c r="B125" t="str">
        <f>nmProd3&amp;" Marketing Budget Pct"</f>
        <v>Personal Computing Marketing Budget Pct</v>
      </c>
      <c r="E125" s="496">
        <v>371249.99999999994</v>
      </c>
      <c r="F125" s="496">
        <v>371249.99999999994</v>
      </c>
      <c r="G125" s="496">
        <v>371249.99999999994</v>
      </c>
      <c r="H125" s="496">
        <v>371249.99999999994</v>
      </c>
      <c r="I125" s="496">
        <v>371249.99999999994</v>
      </c>
      <c r="J125" s="496">
        <v>371249.99999999994</v>
      </c>
      <c r="K125" s="496">
        <v>371249.99999999994</v>
      </c>
      <c r="L125" s="496">
        <v>371249.99999999994</v>
      </c>
      <c r="M125" s="496">
        <v>371249.99999999994</v>
      </c>
      <c r="N125" s="496">
        <v>371249.99999999994</v>
      </c>
      <c r="O125" t="s">
        <v>1203</v>
      </c>
      <c r="Q125" s="917">
        <v>371000</v>
      </c>
    </row>
    <row r="126" spans="1:17">
      <c r="Q126" s="914"/>
    </row>
    <row r="127" spans="1:17">
      <c r="B127" t="s">
        <v>495</v>
      </c>
      <c r="E127" s="477">
        <v>5</v>
      </c>
      <c r="F127" s="477">
        <v>5</v>
      </c>
      <c r="G127" s="477">
        <v>5</v>
      </c>
      <c r="H127" s="477">
        <v>5</v>
      </c>
      <c r="I127" s="477">
        <v>5</v>
      </c>
      <c r="J127" s="477">
        <v>5</v>
      </c>
      <c r="K127" s="477">
        <v>5</v>
      </c>
      <c r="L127" s="477">
        <v>5</v>
      </c>
      <c r="M127" s="477">
        <v>5</v>
      </c>
      <c r="N127" s="477">
        <v>5</v>
      </c>
      <c r="O127" t="s">
        <v>1210</v>
      </c>
      <c r="Q127" s="914">
        <v>5</v>
      </c>
    </row>
    <row r="128" spans="1:17">
      <c r="B128" t="s">
        <v>426</v>
      </c>
      <c r="E128" s="477">
        <v>4</v>
      </c>
      <c r="F128" s="477">
        <v>4</v>
      </c>
      <c r="G128" s="477">
        <v>4</v>
      </c>
      <c r="H128" s="477">
        <v>4</v>
      </c>
      <c r="I128" s="477">
        <v>4</v>
      </c>
      <c r="J128" s="477">
        <v>4</v>
      </c>
      <c r="K128" s="477">
        <v>4</v>
      </c>
      <c r="L128" s="477">
        <v>4</v>
      </c>
      <c r="M128" s="477">
        <v>4</v>
      </c>
      <c r="N128" s="477">
        <v>4</v>
      </c>
      <c r="O128" t="s">
        <v>1211</v>
      </c>
      <c r="Q128" s="914">
        <v>4</v>
      </c>
    </row>
    <row r="129" spans="2:17">
      <c r="B129" t="s">
        <v>425</v>
      </c>
      <c r="E129" s="477">
        <v>3</v>
      </c>
      <c r="F129" s="477">
        <v>3</v>
      </c>
      <c r="G129" s="477">
        <v>3</v>
      </c>
      <c r="H129" s="477">
        <v>3</v>
      </c>
      <c r="I129" s="477">
        <v>3</v>
      </c>
      <c r="J129" s="477">
        <v>3</v>
      </c>
      <c r="K129" s="477">
        <v>3</v>
      </c>
      <c r="L129" s="477">
        <v>3</v>
      </c>
      <c r="M129" s="477">
        <v>3</v>
      </c>
      <c r="N129" s="477">
        <v>3</v>
      </c>
      <c r="O129" t="s">
        <v>1212</v>
      </c>
      <c r="Q129" s="914">
        <v>3</v>
      </c>
    </row>
    <row r="130" spans="2:17">
      <c r="Q130" s="914"/>
    </row>
    <row r="131" spans="2:17">
      <c r="B131" t="str">
        <f>nmPartner4&amp;" Percent"</f>
        <v>Channels Percent</v>
      </c>
      <c r="E131" s="476">
        <v>0.33</v>
      </c>
      <c r="F131" s="476">
        <v>0.33</v>
      </c>
      <c r="G131" s="476">
        <v>0.33</v>
      </c>
      <c r="H131" s="476">
        <v>0.33</v>
      </c>
      <c r="I131" s="476">
        <v>0.33</v>
      </c>
      <c r="J131" s="476">
        <v>0.33</v>
      </c>
      <c r="K131" s="476">
        <v>0.33</v>
      </c>
      <c r="L131" s="476">
        <v>0.33</v>
      </c>
      <c r="M131" s="476">
        <v>0.33</v>
      </c>
      <c r="N131" s="476">
        <v>0.33</v>
      </c>
      <c r="O131" t="s">
        <v>1204</v>
      </c>
      <c r="Q131" s="916">
        <v>0.45</v>
      </c>
    </row>
    <row r="132" spans="2:17">
      <c r="B132" t="str">
        <f>nmPartner5&amp;" Percent"</f>
        <v>Retailer Percent</v>
      </c>
      <c r="E132" s="476">
        <v>0</v>
      </c>
      <c r="F132" s="476">
        <v>0</v>
      </c>
      <c r="G132" s="476">
        <v>0</v>
      </c>
      <c r="H132" s="476">
        <v>0</v>
      </c>
      <c r="I132" s="476">
        <v>0</v>
      </c>
      <c r="J132" s="476">
        <v>0</v>
      </c>
      <c r="K132" s="476">
        <v>0</v>
      </c>
      <c r="L132" s="476">
        <v>0</v>
      </c>
      <c r="M132" s="476">
        <v>0</v>
      </c>
      <c r="N132" s="476">
        <v>0</v>
      </c>
      <c r="O132" t="s">
        <v>1205</v>
      </c>
      <c r="Q132" s="916">
        <v>0.4</v>
      </c>
    </row>
    <row r="133" spans="2:17">
      <c r="B133" t="str">
        <f>nmPartner6&amp;" Percent"</f>
        <v>Developer Percent</v>
      </c>
      <c r="E133" s="476">
        <v>0.67</v>
      </c>
      <c r="F133" s="476">
        <v>0.67</v>
      </c>
      <c r="G133" s="476">
        <v>0.67</v>
      </c>
      <c r="H133" s="476">
        <v>0.67</v>
      </c>
      <c r="I133" s="476">
        <v>0.67</v>
      </c>
      <c r="J133" s="476">
        <v>0.67</v>
      </c>
      <c r="K133" s="476">
        <v>0.67</v>
      </c>
      <c r="L133" s="476">
        <v>0.67</v>
      </c>
      <c r="M133" s="476">
        <v>0.67</v>
      </c>
      <c r="N133" s="476">
        <v>0.67</v>
      </c>
      <c r="O133" t="s">
        <v>1206</v>
      </c>
      <c r="Q133" s="916">
        <v>0.15</v>
      </c>
    </row>
    <row r="134" spans="2:17">
      <c r="Q134" s="914"/>
    </row>
    <row r="135" spans="2:17">
      <c r="B135" t="s">
        <v>1245</v>
      </c>
      <c r="E135" s="496">
        <v>2500000</v>
      </c>
      <c r="F135" s="496">
        <v>2500000</v>
      </c>
      <c r="G135" s="496">
        <v>2500000</v>
      </c>
      <c r="H135" s="496">
        <v>2500000</v>
      </c>
      <c r="I135" s="496">
        <v>2500000</v>
      </c>
      <c r="J135" s="496">
        <v>2500000</v>
      </c>
      <c r="K135" s="496">
        <v>2500000</v>
      </c>
      <c r="L135" s="496">
        <v>2500000</v>
      </c>
      <c r="M135" s="496">
        <v>2500000</v>
      </c>
      <c r="N135" s="496">
        <v>2500000</v>
      </c>
      <c r="O135" t="s">
        <v>1261</v>
      </c>
      <c r="Q135" s="917">
        <v>2500000</v>
      </c>
    </row>
    <row r="136" spans="2:17">
      <c r="B136" t="str">
        <f>nmPartner4&amp;" Budget"</f>
        <v>Channels Budget</v>
      </c>
      <c r="E136" s="496">
        <v>825000</v>
      </c>
      <c r="F136" s="496">
        <v>825000</v>
      </c>
      <c r="G136" s="496">
        <v>825000</v>
      </c>
      <c r="H136" s="496">
        <v>825000</v>
      </c>
      <c r="I136" s="496">
        <v>825000</v>
      </c>
      <c r="J136" s="496">
        <v>825000</v>
      </c>
      <c r="K136" s="496">
        <v>825000</v>
      </c>
      <c r="L136" s="496">
        <v>825000</v>
      </c>
      <c r="M136" s="496">
        <v>825000</v>
      </c>
      <c r="N136" s="496">
        <v>825000</v>
      </c>
      <c r="O136" t="s">
        <v>1262</v>
      </c>
      <c r="Q136" s="917">
        <v>1125000</v>
      </c>
    </row>
    <row r="137" spans="2:17">
      <c r="B137" t="str">
        <f>nmPartner5&amp;" Budget"</f>
        <v>Retailer Budget</v>
      </c>
      <c r="E137" s="496">
        <v>0</v>
      </c>
      <c r="F137" s="496">
        <v>0</v>
      </c>
      <c r="G137" s="496">
        <v>0</v>
      </c>
      <c r="H137" s="496">
        <v>0</v>
      </c>
      <c r="I137" s="496">
        <v>0</v>
      </c>
      <c r="J137" s="496">
        <v>0</v>
      </c>
      <c r="K137" s="496">
        <v>0</v>
      </c>
      <c r="L137" s="496">
        <v>0</v>
      </c>
      <c r="M137" s="496">
        <v>0</v>
      </c>
      <c r="N137" s="496">
        <v>0</v>
      </c>
      <c r="O137" t="s">
        <v>1263</v>
      </c>
      <c r="Q137" s="917">
        <v>1000000</v>
      </c>
    </row>
    <row r="138" spans="2:17">
      <c r="B138" t="str">
        <f>nmPartner6&amp;" Budget"</f>
        <v>Developer Budget</v>
      </c>
      <c r="E138" s="496">
        <v>1674999.9999999998</v>
      </c>
      <c r="F138" s="496">
        <v>1674999.9999999998</v>
      </c>
      <c r="G138" s="496">
        <v>1674999.9999999998</v>
      </c>
      <c r="H138" s="496">
        <v>1674999.9999999998</v>
      </c>
      <c r="I138" s="496">
        <v>1674999.9999999998</v>
      </c>
      <c r="J138" s="496">
        <v>1674999.9999999998</v>
      </c>
      <c r="K138" s="496">
        <v>1674999.9999999998</v>
      </c>
      <c r="L138" s="496">
        <v>1674999.9999999998</v>
      </c>
      <c r="M138" s="496">
        <v>1674999.9999999998</v>
      </c>
      <c r="N138" s="496">
        <v>1674999.9999999998</v>
      </c>
      <c r="O138" t="s">
        <v>1264</v>
      </c>
      <c r="Q138" s="917">
        <v>375000</v>
      </c>
    </row>
    <row r="139" spans="2:17">
      <c r="Q139" s="914"/>
    </row>
    <row r="140" spans="2:17">
      <c r="B140" t="s">
        <v>1330</v>
      </c>
      <c r="E140" s="477">
        <v>0</v>
      </c>
      <c r="F140" s="477">
        <v>0</v>
      </c>
      <c r="G140" s="477">
        <v>0</v>
      </c>
      <c r="H140" s="477">
        <v>0</v>
      </c>
      <c r="I140" s="477">
        <v>0</v>
      </c>
      <c r="J140" s="477">
        <v>0</v>
      </c>
      <c r="K140" s="477">
        <v>0</v>
      </c>
      <c r="L140" s="477">
        <v>0</v>
      </c>
      <c r="M140" s="477">
        <v>0</v>
      </c>
      <c r="N140" s="477">
        <v>0</v>
      </c>
      <c r="O140" t="s">
        <v>1360</v>
      </c>
      <c r="Q140" s="914">
        <v>0</v>
      </c>
    </row>
    <row r="141" spans="2:17">
      <c r="B141" t="str">
        <f>nmPartner4&amp;" FTEs"</f>
        <v>Channels FTEs</v>
      </c>
      <c r="E141" s="477">
        <v>0</v>
      </c>
      <c r="F141" s="477">
        <v>0</v>
      </c>
      <c r="G141" s="477">
        <v>0</v>
      </c>
      <c r="H141" s="477">
        <v>0</v>
      </c>
      <c r="I141" s="477">
        <v>0</v>
      </c>
      <c r="J141" s="477">
        <v>0</v>
      </c>
      <c r="K141" s="477">
        <v>0</v>
      </c>
      <c r="L141" s="477">
        <v>0</v>
      </c>
      <c r="M141" s="477">
        <v>0</v>
      </c>
      <c r="N141" s="477">
        <v>0</v>
      </c>
      <c r="O141" t="s">
        <v>1361</v>
      </c>
      <c r="Q141" s="914">
        <v>0</v>
      </c>
    </row>
    <row r="142" spans="2:17">
      <c r="B142" t="str">
        <f>nmPartner5&amp;" FTEs"</f>
        <v>Retailer FTEs</v>
      </c>
      <c r="E142" s="477">
        <v>0</v>
      </c>
      <c r="F142" s="477">
        <v>0</v>
      </c>
      <c r="G142" s="477">
        <v>0</v>
      </c>
      <c r="H142" s="477">
        <v>0</v>
      </c>
      <c r="I142" s="477">
        <v>0</v>
      </c>
      <c r="J142" s="477">
        <v>0</v>
      </c>
      <c r="K142" s="477">
        <v>0</v>
      </c>
      <c r="L142" s="477">
        <v>0</v>
      </c>
      <c r="M142" s="477">
        <v>0</v>
      </c>
      <c r="N142" s="477">
        <v>0</v>
      </c>
      <c r="O142" t="s">
        <v>1362</v>
      </c>
      <c r="Q142" s="914">
        <v>0</v>
      </c>
    </row>
    <row r="143" spans="2:17">
      <c r="B143" t="str">
        <f>nmPartner6&amp;" FTEs"</f>
        <v>Developer FTEs</v>
      </c>
      <c r="E143" s="477">
        <v>0</v>
      </c>
      <c r="F143" s="477">
        <v>0</v>
      </c>
      <c r="G143" s="477">
        <v>0</v>
      </c>
      <c r="H143" s="477">
        <v>0</v>
      </c>
      <c r="I143" s="477">
        <v>0</v>
      </c>
      <c r="J143" s="477">
        <v>0</v>
      </c>
      <c r="K143" s="477">
        <v>0</v>
      </c>
      <c r="L143" s="477">
        <v>0</v>
      </c>
      <c r="M143" s="477">
        <v>0</v>
      </c>
      <c r="N143" s="477">
        <v>0</v>
      </c>
      <c r="O143" t="s">
        <v>1363</v>
      </c>
      <c r="Q143" s="914">
        <v>0</v>
      </c>
    </row>
    <row r="144" spans="2:17" s="497" customFormat="1">
      <c r="E144" s="499"/>
      <c r="F144" s="498"/>
      <c r="G144" s="498"/>
      <c r="H144" s="498"/>
      <c r="I144" s="498"/>
      <c r="J144" s="498"/>
      <c r="K144" s="498"/>
      <c r="L144" s="498"/>
      <c r="M144" s="498"/>
      <c r="N144" s="498"/>
      <c r="Q144" s="918"/>
    </row>
    <row r="145" spans="1:17">
      <c r="A145" s="29" t="s">
        <v>1421</v>
      </c>
      <c r="B145" s="29"/>
      <c r="C145" s="29"/>
      <c r="D145" s="29"/>
      <c r="E145" s="37"/>
      <c r="F145" s="37"/>
      <c r="G145" s="37"/>
      <c r="H145" s="37"/>
      <c r="I145" s="37"/>
      <c r="J145" s="37"/>
      <c r="K145" s="37"/>
      <c r="L145" s="37"/>
      <c r="M145" s="37"/>
      <c r="N145" s="37"/>
      <c r="Q145" s="914"/>
    </row>
    <row r="146" spans="1:17">
      <c r="B146" s="29" t="str">
        <f>nmProd1Seg1 &amp; " New Subscriptions"</f>
        <v>Productivity &amp; Business Enterprise New Subscriptions</v>
      </c>
      <c r="E146" s="30">
        <v>1864634.7351524869</v>
      </c>
      <c r="F146" s="30">
        <v>1864634.7351524869</v>
      </c>
      <c r="G146" s="30">
        <v>1864634.7351524869</v>
      </c>
      <c r="H146" s="30">
        <v>1864634.7351524869</v>
      </c>
      <c r="I146" s="30">
        <v>1864634.7351524869</v>
      </c>
      <c r="J146" s="30">
        <v>1864634.7351524869</v>
      </c>
      <c r="K146" s="30">
        <v>1864634.7351524869</v>
      </c>
      <c r="L146" s="30">
        <v>1864634.7351524869</v>
      </c>
      <c r="M146" s="30">
        <v>1864634.7351524869</v>
      </c>
      <c r="N146" s="30">
        <v>1864634.7351524869</v>
      </c>
      <c r="O146" t="s">
        <v>1384</v>
      </c>
      <c r="P146" s="706">
        <f>Q146/$Q$148</f>
        <v>0.61538461538461542</v>
      </c>
      <c r="Q146" s="915">
        <v>3000000</v>
      </c>
    </row>
    <row r="147" spans="1:17">
      <c r="B147" s="29" t="str">
        <f>nmProd1Seg1 &amp; " Renewed Subscriptions"</f>
        <v>Productivity &amp; Business Enterprise Renewed Subscriptions</v>
      </c>
      <c r="E147" s="30">
        <v>3412500</v>
      </c>
      <c r="F147" s="30">
        <v>3412500</v>
      </c>
      <c r="G147" s="30">
        <v>3412500</v>
      </c>
      <c r="H147" s="30">
        <v>3412500</v>
      </c>
      <c r="I147" s="30">
        <v>3412500</v>
      </c>
      <c r="J147" s="30">
        <v>3412500</v>
      </c>
      <c r="K147" s="30">
        <v>3412500</v>
      </c>
      <c r="L147" s="30">
        <v>3412500</v>
      </c>
      <c r="M147" s="30">
        <v>3412500</v>
      </c>
      <c r="N147" s="30">
        <v>3412500</v>
      </c>
      <c r="O147" t="s">
        <v>1385</v>
      </c>
      <c r="P147" s="706">
        <f>1-P146</f>
        <v>0.38461538461538458</v>
      </c>
      <c r="Q147" s="915">
        <v>1875000</v>
      </c>
    </row>
    <row r="148" spans="1:17">
      <c r="B148" s="29" t="str">
        <f>nmProd1Seg1 &amp; " Total Subscriptions"</f>
        <v>Productivity &amp; Business Enterprise Total Subscriptions</v>
      </c>
      <c r="E148" s="30">
        <v>5277134.7351524867</v>
      </c>
      <c r="F148" s="30">
        <v>5277134.7351524867</v>
      </c>
      <c r="G148" s="30">
        <v>5277134.7351524867</v>
      </c>
      <c r="H148" s="30">
        <v>5277134.7351524867</v>
      </c>
      <c r="I148" s="30">
        <v>5277134.7351524867</v>
      </c>
      <c r="J148" s="30">
        <v>5277134.7351524867</v>
      </c>
      <c r="K148" s="30">
        <v>5277134.7351524867</v>
      </c>
      <c r="L148" s="30">
        <v>5277134.7351524867</v>
      </c>
      <c r="M148" s="30">
        <v>5277134.7351524867</v>
      </c>
      <c r="N148" s="30">
        <v>5277134.7351524867</v>
      </c>
      <c r="O148" t="s">
        <v>1386</v>
      </c>
      <c r="Q148" s="915">
        <v>4875000</v>
      </c>
    </row>
    <row r="149" spans="1:17">
      <c r="B149" s="29"/>
      <c r="E149" s="30"/>
      <c r="F149" s="30"/>
      <c r="G149" s="30"/>
      <c r="H149" s="30"/>
      <c r="I149" s="30"/>
      <c r="J149" s="30"/>
      <c r="K149" s="30"/>
      <c r="L149" s="30"/>
      <c r="M149" s="30"/>
      <c r="N149" s="30"/>
      <c r="Q149" s="915"/>
    </row>
    <row r="150" spans="1:17">
      <c r="B150" s="29" t="str">
        <f>nmProd1Seg2 &amp; " New Subscriptions"</f>
        <v>Productivity &amp; Business SMC New Subscriptions</v>
      </c>
      <c r="E150" s="30">
        <v>819227.8665581774</v>
      </c>
      <c r="F150" s="30">
        <v>819227.8665581774</v>
      </c>
      <c r="G150" s="30">
        <v>819227.8665581774</v>
      </c>
      <c r="H150" s="30">
        <v>819227.8665581774</v>
      </c>
      <c r="I150" s="30">
        <v>819227.8665581774</v>
      </c>
      <c r="J150" s="30">
        <v>819227.8665581774</v>
      </c>
      <c r="K150" s="30">
        <v>819227.8665581774</v>
      </c>
      <c r="L150" s="30">
        <v>819227.8665581774</v>
      </c>
      <c r="M150" s="30">
        <v>819227.8665581774</v>
      </c>
      <c r="N150" s="30">
        <v>819227.8665581774</v>
      </c>
      <c r="O150" t="s">
        <v>1422</v>
      </c>
      <c r="P150" s="706">
        <f>Q150/$Q$152</f>
        <v>0.61538461538461542</v>
      </c>
      <c r="Q150" s="915">
        <v>2100000</v>
      </c>
    </row>
    <row r="151" spans="1:17">
      <c r="B151" s="29" t="str">
        <f>nmProd1Seg2 &amp; " Renewed Subscriptions"</f>
        <v>Productivity &amp; Business SMC Renewed Subscriptions</v>
      </c>
      <c r="E151" s="30">
        <v>2388750</v>
      </c>
      <c r="F151" s="30">
        <v>2388750</v>
      </c>
      <c r="G151" s="30">
        <v>2388750</v>
      </c>
      <c r="H151" s="30">
        <v>2388750</v>
      </c>
      <c r="I151" s="30">
        <v>2388750</v>
      </c>
      <c r="J151" s="30">
        <v>2388750</v>
      </c>
      <c r="K151" s="30">
        <v>2388750</v>
      </c>
      <c r="L151" s="30">
        <v>2388750</v>
      </c>
      <c r="M151" s="30">
        <v>2388750</v>
      </c>
      <c r="N151" s="30">
        <v>2388750</v>
      </c>
      <c r="O151" t="s">
        <v>1423</v>
      </c>
      <c r="P151" s="706">
        <f>1-P150</f>
        <v>0.38461538461538458</v>
      </c>
      <c r="Q151" s="915">
        <v>1312500</v>
      </c>
    </row>
    <row r="152" spans="1:17">
      <c r="B152" s="29" t="str">
        <f>nmProd1Seg2 &amp; " Total Subscriptions"</f>
        <v>Productivity &amp; Business SMC Total Subscriptions</v>
      </c>
      <c r="E152" s="30">
        <v>3207977.8665581774</v>
      </c>
      <c r="F152" s="30">
        <v>3207977.8665581774</v>
      </c>
      <c r="G152" s="30">
        <v>3207977.8665581774</v>
      </c>
      <c r="H152" s="30">
        <v>3207977.8665581774</v>
      </c>
      <c r="I152" s="30">
        <v>3207977.8665581774</v>
      </c>
      <c r="J152" s="30">
        <v>3207977.8665581774</v>
      </c>
      <c r="K152" s="30">
        <v>3207977.8665581774</v>
      </c>
      <c r="L152" s="30">
        <v>3207977.8665581774</v>
      </c>
      <c r="M152" s="30">
        <v>3207977.8665581774</v>
      </c>
      <c r="N152" s="30">
        <v>3207977.8665581774</v>
      </c>
      <c r="O152" t="s">
        <v>1424</v>
      </c>
      <c r="Q152" s="915">
        <v>3412500</v>
      </c>
    </row>
    <row r="153" spans="1:17">
      <c r="B153" s="29"/>
      <c r="E153" s="30"/>
      <c r="F153" s="30"/>
      <c r="G153" s="30"/>
      <c r="H153" s="30"/>
      <c r="I153" s="30"/>
      <c r="J153" s="30"/>
      <c r="K153" s="30"/>
      <c r="L153" s="30"/>
      <c r="M153" s="30"/>
      <c r="N153" s="30"/>
      <c r="Q153" s="915"/>
    </row>
    <row r="154" spans="1:17">
      <c r="B154" s="29" t="str">
        <f>nmProd1Seg3 &amp; " New Subscriptions"</f>
        <v>Productivity &amp; Business Consumer New Subscriptions</v>
      </c>
      <c r="E154" s="30">
        <v>1164883.439999999</v>
      </c>
      <c r="F154" s="30">
        <v>1164883.439999999</v>
      </c>
      <c r="G154" s="30">
        <v>1164883.439999999</v>
      </c>
      <c r="H154" s="30">
        <v>1164883.439999999</v>
      </c>
      <c r="I154" s="30">
        <v>1164883.439999999</v>
      </c>
      <c r="J154" s="30">
        <v>1164883.439999999</v>
      </c>
      <c r="K154" s="30">
        <v>1164883.439999999</v>
      </c>
      <c r="L154" s="30">
        <v>1164883.439999999</v>
      </c>
      <c r="M154" s="30">
        <v>1164883.439999999</v>
      </c>
      <c r="N154" s="30">
        <v>1164883.439999999</v>
      </c>
      <c r="O154" t="s">
        <v>1425</v>
      </c>
      <c r="P154" s="706">
        <f>Q154/$Q$156</f>
        <v>0.61538461538461542</v>
      </c>
      <c r="Q154" s="915">
        <f>Q156*P150</f>
        <v>6480000</v>
      </c>
    </row>
    <row r="155" spans="1:17">
      <c r="B155" s="29" t="str">
        <f>nmProd1Seg3 &amp; " Renewed Subscriptions"</f>
        <v>Productivity &amp; Business Consumer Renewed Subscriptions</v>
      </c>
      <c r="E155" s="30">
        <v>7371000</v>
      </c>
      <c r="F155" s="30">
        <v>7371000</v>
      </c>
      <c r="G155" s="30">
        <v>7371000</v>
      </c>
      <c r="H155" s="30">
        <v>7371000</v>
      </c>
      <c r="I155" s="30">
        <v>7371000</v>
      </c>
      <c r="J155" s="30">
        <v>7371000</v>
      </c>
      <c r="K155" s="30">
        <v>7371000</v>
      </c>
      <c r="L155" s="30">
        <v>7371000</v>
      </c>
      <c r="M155" s="30">
        <v>7371000</v>
      </c>
      <c r="N155" s="30">
        <v>7371000</v>
      </c>
      <c r="O155" t="s">
        <v>1426</v>
      </c>
      <c r="P155" s="706">
        <f>1-P154</f>
        <v>0.38461538461538458</v>
      </c>
      <c r="Q155" s="915">
        <f>Q156*P151</f>
        <v>4049999.9999999995</v>
      </c>
    </row>
    <row r="156" spans="1:17">
      <c r="B156" s="29" t="str">
        <f>nmProd1Seg3 &amp; " Total Subscriptions"</f>
        <v>Productivity &amp; Business Consumer Total Subscriptions</v>
      </c>
      <c r="E156" s="30">
        <v>8535883.4399999995</v>
      </c>
      <c r="F156" s="30">
        <v>8535883.4399999995</v>
      </c>
      <c r="G156" s="30">
        <v>8535883.4399999995</v>
      </c>
      <c r="H156" s="30">
        <v>8535883.4399999995</v>
      </c>
      <c r="I156" s="30">
        <v>8535883.4399999995</v>
      </c>
      <c r="J156" s="30">
        <v>8535883.4399999995</v>
      </c>
      <c r="K156" s="30">
        <v>8535883.4399999995</v>
      </c>
      <c r="L156" s="30">
        <v>8535883.4399999995</v>
      </c>
      <c r="M156" s="30">
        <v>8535883.4399999995</v>
      </c>
      <c r="N156" s="30">
        <v>8535883.4399999995</v>
      </c>
      <c r="O156" t="s">
        <v>1427</v>
      </c>
      <c r="Q156" s="915">
        <v>10530000</v>
      </c>
    </row>
    <row r="157" spans="1:17" s="497" customFormat="1">
      <c r="A157"/>
      <c r="E157" s="499"/>
      <c r="F157" s="499"/>
      <c r="G157" s="499"/>
      <c r="H157" s="499"/>
      <c r="I157" s="499"/>
      <c r="J157" s="499"/>
      <c r="K157" s="499"/>
      <c r="L157" s="499"/>
      <c r="M157" s="499"/>
      <c r="N157" s="499"/>
      <c r="Q157" s="920"/>
    </row>
    <row r="158" spans="1:17">
      <c r="B158" s="29" t="str">
        <f>nmProd2Seg1 &amp; " New Subscriptions"</f>
        <v>Intelligent Cloud Enterprise New Subscriptions</v>
      </c>
      <c r="E158" s="30">
        <v>1101487.9477210126</v>
      </c>
      <c r="F158" s="30">
        <v>1101487.9477210126</v>
      </c>
      <c r="G158" s="30">
        <v>1101487.9477210126</v>
      </c>
      <c r="H158" s="30">
        <v>1101487.9477210126</v>
      </c>
      <c r="I158" s="30">
        <v>1101487.9477210126</v>
      </c>
      <c r="J158" s="30">
        <v>1101487.9477210126</v>
      </c>
      <c r="K158" s="30">
        <v>1101487.9477210126</v>
      </c>
      <c r="L158" s="30">
        <v>1101487.9477210126</v>
      </c>
      <c r="M158" s="30">
        <v>1101487.9477210126</v>
      </c>
      <c r="N158" s="30">
        <v>1101487.9477210126</v>
      </c>
      <c r="O158" t="s">
        <v>1428</v>
      </c>
      <c r="P158" s="706">
        <f>Q158/$Q$160</f>
        <v>0.5</v>
      </c>
      <c r="Q158" s="915">
        <f>Q160/2</f>
        <v>877500</v>
      </c>
    </row>
    <row r="159" spans="1:17">
      <c r="B159" s="29" t="str">
        <f>nmProd2Seg1 &amp; " Renewed Subscriptions"</f>
        <v>Intelligent Cloud Enterprise Renewed Subscriptions</v>
      </c>
      <c r="E159" s="30">
        <v>1228500</v>
      </c>
      <c r="F159" s="30">
        <v>1228500</v>
      </c>
      <c r="G159" s="30">
        <v>1228500</v>
      </c>
      <c r="H159" s="30">
        <v>1228500</v>
      </c>
      <c r="I159" s="30">
        <v>1228500</v>
      </c>
      <c r="J159" s="30">
        <v>1228500</v>
      </c>
      <c r="K159" s="30">
        <v>1228500</v>
      </c>
      <c r="L159" s="30">
        <v>1228500</v>
      </c>
      <c r="M159" s="30">
        <v>1228500</v>
      </c>
      <c r="N159" s="30">
        <v>1228500</v>
      </c>
      <c r="O159" t="s">
        <v>1429</v>
      </c>
      <c r="P159" s="706">
        <f>1-P158</f>
        <v>0.5</v>
      </c>
      <c r="Q159" s="915">
        <f>Q160/2</f>
        <v>877500</v>
      </c>
    </row>
    <row r="160" spans="1:17">
      <c r="B160" s="29" t="str">
        <f>nmProd2Seg1 &amp; " Total Subscriptions"</f>
        <v>Intelligent Cloud Enterprise Total Subscriptions</v>
      </c>
      <c r="E160" s="30">
        <v>2329987.9477210129</v>
      </c>
      <c r="F160" s="30">
        <v>2329987.9477210129</v>
      </c>
      <c r="G160" s="30">
        <v>2329987.9477210129</v>
      </c>
      <c r="H160" s="30">
        <v>2329987.9477210129</v>
      </c>
      <c r="I160" s="30">
        <v>2329987.9477210129</v>
      </c>
      <c r="J160" s="30">
        <v>2329987.9477210129</v>
      </c>
      <c r="K160" s="30">
        <v>2329987.9477210129</v>
      </c>
      <c r="L160" s="30">
        <v>2329987.9477210129</v>
      </c>
      <c r="M160" s="30">
        <v>2329987.9477210129</v>
      </c>
      <c r="N160" s="30">
        <v>2329987.9477210129</v>
      </c>
      <c r="O160" t="s">
        <v>1430</v>
      </c>
      <c r="Q160" s="915">
        <v>1755000</v>
      </c>
    </row>
    <row r="161" spans="1:17">
      <c r="B161" s="29"/>
      <c r="E161" s="30"/>
      <c r="F161" s="30"/>
      <c r="G161" s="30"/>
      <c r="H161" s="30"/>
      <c r="I161" s="30"/>
      <c r="J161" s="30"/>
      <c r="K161" s="30"/>
      <c r="L161" s="30"/>
      <c r="M161" s="30"/>
      <c r="N161" s="30"/>
      <c r="Q161" s="915"/>
    </row>
    <row r="162" spans="1:17">
      <c r="B162" s="29" t="str">
        <f>nmProd2Seg2 &amp; " New Subscriptions"</f>
        <v>Intelligent Cloud SMC New Subscriptions</v>
      </c>
      <c r="E162" s="30">
        <v>1702339.0472343264</v>
      </c>
      <c r="F162" s="30">
        <v>1702339.0472343264</v>
      </c>
      <c r="G162" s="30">
        <v>1702339.0472343264</v>
      </c>
      <c r="H162" s="30">
        <v>1702339.0472343264</v>
      </c>
      <c r="I162" s="30">
        <v>1702339.0472343264</v>
      </c>
      <c r="J162" s="30">
        <v>1702339.0472343264</v>
      </c>
      <c r="K162" s="30">
        <v>1702339.0472343264</v>
      </c>
      <c r="L162" s="30">
        <v>1702339.0472343264</v>
      </c>
      <c r="M162" s="30">
        <v>1702339.0472343264</v>
      </c>
      <c r="N162" s="30">
        <v>1702339.0472343264</v>
      </c>
      <c r="O162" t="s">
        <v>1431</v>
      </c>
      <c r="P162" s="706">
        <f>Q162/$Q$164</f>
        <v>0.5</v>
      </c>
      <c r="Q162" s="915">
        <v>600000</v>
      </c>
    </row>
    <row r="163" spans="1:17">
      <c r="B163" s="29" t="str">
        <f>nmProd2Seg2 &amp; " Renewed Subscriptions"</f>
        <v>Intelligent Cloud SMC Renewed Subscriptions</v>
      </c>
      <c r="E163" s="30">
        <v>840000</v>
      </c>
      <c r="F163" s="30">
        <v>840000</v>
      </c>
      <c r="G163" s="30">
        <v>840000</v>
      </c>
      <c r="H163" s="30">
        <v>840000</v>
      </c>
      <c r="I163" s="30">
        <v>840000</v>
      </c>
      <c r="J163" s="30">
        <v>840000</v>
      </c>
      <c r="K163" s="30">
        <v>840000</v>
      </c>
      <c r="L163" s="30">
        <v>840000</v>
      </c>
      <c r="M163" s="30">
        <v>840000</v>
      </c>
      <c r="N163" s="30">
        <v>840000</v>
      </c>
      <c r="O163" t="s">
        <v>1432</v>
      </c>
      <c r="P163" s="706">
        <f>1-P162</f>
        <v>0.5</v>
      </c>
      <c r="Q163" s="915">
        <v>600000</v>
      </c>
    </row>
    <row r="164" spans="1:17">
      <c r="B164" s="29" t="str">
        <f>nmProd2Seg2 &amp; " Total Subscriptions"</f>
        <v>Intelligent Cloud SMC Total Subscriptions</v>
      </c>
      <c r="E164" s="30">
        <v>2542339.0472343266</v>
      </c>
      <c r="F164" s="30">
        <v>2542339.0472343266</v>
      </c>
      <c r="G164" s="30">
        <v>2542339.0472343266</v>
      </c>
      <c r="H164" s="30">
        <v>2542339.0472343266</v>
      </c>
      <c r="I164" s="30">
        <v>2542339.0472343266</v>
      </c>
      <c r="J164" s="30">
        <v>2542339.0472343266</v>
      </c>
      <c r="K164" s="30">
        <v>2542339.0472343266</v>
      </c>
      <c r="L164" s="30">
        <v>2542339.0472343266</v>
      </c>
      <c r="M164" s="30">
        <v>2542339.0472343266</v>
      </c>
      <c r="N164" s="30">
        <v>2542339.0472343266</v>
      </c>
      <c r="O164" t="s">
        <v>1433</v>
      </c>
      <c r="Q164" s="915">
        <v>1200000</v>
      </c>
    </row>
    <row r="165" spans="1:17">
      <c r="B165" s="29"/>
      <c r="E165" s="30"/>
      <c r="F165" s="30"/>
      <c r="G165" s="30"/>
      <c r="H165" s="30"/>
      <c r="I165" s="30"/>
      <c r="J165" s="30"/>
      <c r="K165" s="30"/>
      <c r="L165" s="30"/>
      <c r="M165" s="30"/>
      <c r="N165" s="30"/>
      <c r="Q165" s="915"/>
    </row>
    <row r="166" spans="1:17">
      <c r="B166" s="29" t="s">
        <v>1656</v>
      </c>
      <c r="E166" s="30">
        <v>21893323.036666002</v>
      </c>
      <c r="F166" s="30">
        <v>21893323.036666002</v>
      </c>
      <c r="G166" s="30">
        <v>21893323.036666002</v>
      </c>
      <c r="H166" s="30">
        <v>21893323.036666002</v>
      </c>
      <c r="I166" s="30">
        <v>21893323.036666002</v>
      </c>
      <c r="J166" s="30">
        <v>21893323.036666002</v>
      </c>
      <c r="K166" s="30">
        <v>21893323.036666002</v>
      </c>
      <c r="L166" s="30">
        <v>21893323.036666002</v>
      </c>
      <c r="M166" s="30">
        <v>21893323.036666002</v>
      </c>
      <c r="N166" s="30">
        <v>21893323.036666002</v>
      </c>
      <c r="O166" t="s">
        <v>2103</v>
      </c>
      <c r="Q166" s="915">
        <v>16312500</v>
      </c>
    </row>
    <row r="167" spans="1:17">
      <c r="B167" s="29"/>
      <c r="E167" s="476"/>
      <c r="F167" s="30"/>
      <c r="G167" s="30"/>
      <c r="H167" s="30"/>
      <c r="I167" s="30"/>
      <c r="J167" s="30"/>
      <c r="K167" s="30"/>
      <c r="L167" s="30"/>
      <c r="M167" s="30"/>
      <c r="N167" s="30"/>
      <c r="Q167" s="915"/>
    </row>
    <row r="168" spans="1:17">
      <c r="A168" t="s">
        <v>2146</v>
      </c>
      <c r="B168" s="29"/>
      <c r="E168" s="30"/>
      <c r="F168" s="30"/>
      <c r="G168" s="30"/>
      <c r="H168" s="30"/>
      <c r="I168" s="30"/>
      <c r="J168" s="30"/>
      <c r="K168" s="30"/>
      <c r="L168" s="30"/>
      <c r="M168" s="30"/>
      <c r="N168" s="30"/>
      <c r="Q168" s="915"/>
    </row>
    <row r="169" spans="1:17">
      <c r="A169" s="497"/>
      <c r="B169" s="29" t="str">
        <f>nmProd1Seg1 &amp; " Non-Cloud Subscriptions"</f>
        <v>Productivity &amp; Business Enterprise Non-Cloud Subscriptions</v>
      </c>
      <c r="E169" s="30">
        <v>2842400</v>
      </c>
      <c r="F169" s="30">
        <v>2842400</v>
      </c>
      <c r="G169" s="30">
        <v>2842400</v>
      </c>
      <c r="H169" s="30">
        <v>2842400</v>
      </c>
      <c r="I169" s="30">
        <v>2842400</v>
      </c>
      <c r="J169" s="30">
        <v>2842400</v>
      </c>
      <c r="K169" s="30">
        <v>2842400</v>
      </c>
      <c r="L169" s="30">
        <v>2842400</v>
      </c>
      <c r="M169" s="30">
        <v>2842400</v>
      </c>
      <c r="N169" s="30">
        <v>2842400</v>
      </c>
      <c r="O169" t="s">
        <v>1648</v>
      </c>
      <c r="Q169" s="915">
        <v>2842400</v>
      </c>
    </row>
    <row r="170" spans="1:17">
      <c r="A170" s="497"/>
      <c r="B170" s="29" t="str">
        <f>nmProd1Seg2 &amp; " Non-Cloud Subscriptions"</f>
        <v>Productivity &amp; Business SMC Non-Cloud Subscriptions</v>
      </c>
      <c r="E170" s="30">
        <v>1776500.0000000002</v>
      </c>
      <c r="F170" s="30">
        <v>1776500.0000000002</v>
      </c>
      <c r="G170" s="30">
        <v>1776500.0000000002</v>
      </c>
      <c r="H170" s="30">
        <v>1776500.0000000002</v>
      </c>
      <c r="I170" s="30">
        <v>1776500.0000000002</v>
      </c>
      <c r="J170" s="30">
        <v>1776500.0000000002</v>
      </c>
      <c r="K170" s="30">
        <v>1776500.0000000002</v>
      </c>
      <c r="L170" s="30">
        <v>1776500.0000000002</v>
      </c>
      <c r="M170" s="30">
        <v>1776500.0000000002</v>
      </c>
      <c r="N170" s="30">
        <v>1776500.0000000002</v>
      </c>
      <c r="O170" t="s">
        <v>1649</v>
      </c>
      <c r="Q170" s="915">
        <v>1776500.0000000002</v>
      </c>
    </row>
    <row r="171" spans="1:17">
      <c r="A171" s="497"/>
      <c r="B171" s="29" t="str">
        <f>nmProd1Seg3 &amp; " Non-Cloud Subscriptions"</f>
        <v>Productivity &amp; Business Consumer Non-Cloud Subscriptions</v>
      </c>
      <c r="E171" s="30">
        <v>0</v>
      </c>
      <c r="F171" s="30">
        <v>0</v>
      </c>
      <c r="G171" s="30">
        <v>0</v>
      </c>
      <c r="H171" s="30">
        <v>0</v>
      </c>
      <c r="I171" s="30">
        <v>0</v>
      </c>
      <c r="J171" s="30">
        <v>0</v>
      </c>
      <c r="K171" s="30">
        <v>0</v>
      </c>
      <c r="L171" s="30">
        <v>0</v>
      </c>
      <c r="M171" s="30">
        <v>0</v>
      </c>
      <c r="N171" s="30">
        <v>0</v>
      </c>
      <c r="O171" t="s">
        <v>1653</v>
      </c>
      <c r="Q171" s="915"/>
    </row>
    <row r="172" spans="1:17" s="497" customFormat="1">
      <c r="E172" s="499"/>
      <c r="F172" s="498"/>
      <c r="G172" s="498"/>
      <c r="H172" s="498"/>
      <c r="I172" s="498"/>
      <c r="J172" s="498"/>
      <c r="K172" s="498"/>
      <c r="L172" s="498"/>
      <c r="M172" s="498"/>
      <c r="N172" s="498"/>
      <c r="Q172" s="918"/>
    </row>
    <row r="173" spans="1:17">
      <c r="A173" s="29" t="s">
        <v>399</v>
      </c>
      <c r="B173" s="29"/>
      <c r="C173" s="29"/>
      <c r="D173" s="29"/>
      <c r="E173" s="37"/>
      <c r="F173" s="37"/>
      <c r="G173" s="37"/>
      <c r="H173" s="37"/>
      <c r="I173" s="37"/>
      <c r="J173" s="37"/>
      <c r="K173" s="37"/>
      <c r="L173" s="37"/>
      <c r="M173" s="37"/>
      <c r="N173" s="37"/>
      <c r="Q173" s="914"/>
    </row>
    <row r="174" spans="1:17">
      <c r="B174" s="29" t="str">
        <f>nmProd1Seg1 &amp; " Cloud Adoption"</f>
        <v>Productivity &amp; Business Enterprise Cloud Adoption</v>
      </c>
      <c r="E174" s="476">
        <v>0.64993068042505031</v>
      </c>
      <c r="F174" s="476">
        <v>0.64993068042505031</v>
      </c>
      <c r="G174" s="476">
        <v>0.64993068042505031</v>
      </c>
      <c r="H174" s="476">
        <v>0.64993068042505031</v>
      </c>
      <c r="I174" s="476">
        <v>0.64993068042505031</v>
      </c>
      <c r="J174" s="476">
        <v>0.64993068042505031</v>
      </c>
      <c r="K174" s="476">
        <v>0.64993068042505031</v>
      </c>
      <c r="L174" s="476">
        <v>0.64993068042505031</v>
      </c>
      <c r="M174" s="476">
        <v>0.64993068042505031</v>
      </c>
      <c r="N174" s="476">
        <v>0.64993068042505031</v>
      </c>
      <c r="O174" t="s">
        <v>1650</v>
      </c>
      <c r="Q174" s="916">
        <v>0.35</v>
      </c>
    </row>
    <row r="175" spans="1:17">
      <c r="B175" s="29" t="str">
        <f>nmProd1Seg2 &amp; " Cloud Adoption"</f>
        <v>Productivity &amp; Business SMC Cloud Adoption</v>
      </c>
      <c r="E175" s="476">
        <v>0.64359356234303278</v>
      </c>
      <c r="F175" s="476">
        <v>0.64359356234303278</v>
      </c>
      <c r="G175" s="476">
        <v>0.64359356234303278</v>
      </c>
      <c r="H175" s="476">
        <v>0.64359356234303278</v>
      </c>
      <c r="I175" s="476">
        <v>0.64359356234303278</v>
      </c>
      <c r="J175" s="476">
        <v>0.64359356234303278</v>
      </c>
      <c r="K175" s="476">
        <v>0.64359356234303278</v>
      </c>
      <c r="L175" s="476">
        <v>0.64359356234303278</v>
      </c>
      <c r="M175" s="476">
        <v>0.64359356234303278</v>
      </c>
      <c r="N175" s="476">
        <v>0.64359356234303278</v>
      </c>
      <c r="O175" t="s">
        <v>1651</v>
      </c>
      <c r="Q175" s="916">
        <v>0.4</v>
      </c>
    </row>
    <row r="176" spans="1:17">
      <c r="B176" s="29" t="str">
        <f>nmProd1Seg3 &amp; " Cloud Adoption"</f>
        <v>Productivity &amp; Business Consumer Cloud Adoption</v>
      </c>
      <c r="E176" s="476">
        <v>1</v>
      </c>
      <c r="F176" s="476">
        <v>1</v>
      </c>
      <c r="G176" s="476">
        <v>1</v>
      </c>
      <c r="H176" s="476">
        <v>1</v>
      </c>
      <c r="I176" s="476">
        <v>1</v>
      </c>
      <c r="J176" s="476">
        <v>1</v>
      </c>
      <c r="K176" s="476">
        <v>1</v>
      </c>
      <c r="L176" s="476">
        <v>1</v>
      </c>
      <c r="M176" s="476">
        <v>1</v>
      </c>
      <c r="N176" s="476">
        <v>1</v>
      </c>
      <c r="O176" t="s">
        <v>1652</v>
      </c>
      <c r="Q176" s="916">
        <v>0.45</v>
      </c>
    </row>
    <row r="177" spans="1:17" s="497" customFormat="1">
      <c r="E177" s="499"/>
      <c r="F177" s="499"/>
      <c r="G177" s="499"/>
      <c r="H177" s="499"/>
      <c r="I177" s="499"/>
      <c r="J177" s="499"/>
      <c r="K177" s="499"/>
      <c r="L177" s="499"/>
      <c r="M177" s="499"/>
      <c r="N177" s="499"/>
      <c r="Q177" s="920"/>
    </row>
    <row r="178" spans="1:17" s="497" customFormat="1">
      <c r="B178" s="497" t="s">
        <v>1658</v>
      </c>
      <c r="E178" s="499">
        <v>0.82578224415160772</v>
      </c>
      <c r="F178" s="499">
        <v>0.82578224415160772</v>
      </c>
      <c r="G178" s="499">
        <v>0.82578224415160772</v>
      </c>
      <c r="H178" s="499">
        <v>0.82578224415160772</v>
      </c>
      <c r="I178" s="499">
        <v>0.82578224415160772</v>
      </c>
      <c r="J178" s="499">
        <v>0.82578224415160772</v>
      </c>
      <c r="K178" s="499">
        <v>0.82578224415160772</v>
      </c>
      <c r="L178" s="499">
        <v>0.82578224415160772</v>
      </c>
      <c r="M178" s="499">
        <v>0.82578224415160772</v>
      </c>
      <c r="N178" s="499">
        <v>0.82578224415160772</v>
      </c>
      <c r="O178" s="578" t="s">
        <v>1659</v>
      </c>
      <c r="Q178" s="920"/>
    </row>
    <row r="179" spans="1:17" s="497" customFormat="1">
      <c r="E179" s="499"/>
      <c r="F179" s="498"/>
      <c r="G179" s="498"/>
      <c r="H179" s="498"/>
      <c r="I179" s="498"/>
      <c r="J179" s="498"/>
      <c r="K179" s="498"/>
      <c r="L179" s="498"/>
      <c r="M179" s="498"/>
      <c r="N179" s="498"/>
      <c r="Q179" s="918"/>
    </row>
    <row r="180" spans="1:17">
      <c r="A180" s="29" t="s">
        <v>1665</v>
      </c>
      <c r="B180" s="29"/>
      <c r="C180" s="29"/>
      <c r="D180" s="29"/>
      <c r="E180" s="37"/>
      <c r="F180" s="37"/>
      <c r="G180" s="37"/>
      <c r="H180" s="37"/>
      <c r="I180" s="37"/>
      <c r="J180" s="37"/>
      <c r="K180" s="37"/>
      <c r="L180" s="37"/>
      <c r="M180" s="37"/>
      <c r="N180" s="37"/>
      <c r="Q180" s="914"/>
    </row>
    <row r="181" spans="1:17">
      <c r="B181" s="29" t="str">
        <f>nmProd1Seg1 &amp; "  Consumption"</f>
        <v>Productivity &amp; Business Enterprise  Consumption</v>
      </c>
      <c r="E181" s="476">
        <v>0.19</v>
      </c>
      <c r="F181" s="476">
        <v>0.19</v>
      </c>
      <c r="G181" s="476">
        <v>0.19</v>
      </c>
      <c r="H181" s="476">
        <v>0.19</v>
      </c>
      <c r="I181" s="476">
        <v>0.19</v>
      </c>
      <c r="J181" s="476">
        <v>0.19</v>
      </c>
      <c r="K181" s="476">
        <v>0.19</v>
      </c>
      <c r="L181" s="476">
        <v>0.19</v>
      </c>
      <c r="M181" s="476">
        <v>0.19</v>
      </c>
      <c r="N181" s="476">
        <v>0.19</v>
      </c>
      <c r="O181" t="s">
        <v>1666</v>
      </c>
      <c r="Q181" s="916">
        <v>0.19</v>
      </c>
    </row>
    <row r="182" spans="1:17">
      <c r="B182" s="29" t="str">
        <f>nmProd1Seg2 &amp; "  Consumption"</f>
        <v>Productivity &amp; Business SMC  Consumption</v>
      </c>
      <c r="E182" s="476">
        <v>0.19</v>
      </c>
      <c r="F182" s="476">
        <v>0.19</v>
      </c>
      <c r="G182" s="476">
        <v>0.19</v>
      </c>
      <c r="H182" s="476">
        <v>0.19</v>
      </c>
      <c r="I182" s="476">
        <v>0.19</v>
      </c>
      <c r="J182" s="476">
        <v>0.19</v>
      </c>
      <c r="K182" s="476">
        <v>0.19</v>
      </c>
      <c r="L182" s="476">
        <v>0.19</v>
      </c>
      <c r="M182" s="476">
        <v>0.19</v>
      </c>
      <c r="N182" s="476">
        <v>0.19</v>
      </c>
      <c r="O182" t="s">
        <v>1667</v>
      </c>
      <c r="Q182" s="916">
        <v>0.19</v>
      </c>
    </row>
    <row r="183" spans="1:17">
      <c r="B183" s="29" t="str">
        <f>nmProd1Seg3 &amp; " Total Consumption"</f>
        <v>Productivity &amp; Business Consumer Total Consumption</v>
      </c>
      <c r="E183" s="476">
        <v>0.19</v>
      </c>
      <c r="F183" s="476">
        <v>0.19</v>
      </c>
      <c r="G183" s="476">
        <v>0.19</v>
      </c>
      <c r="H183" s="476">
        <v>0.19</v>
      </c>
      <c r="I183" s="476">
        <v>0.19</v>
      </c>
      <c r="J183" s="476">
        <v>0.19</v>
      </c>
      <c r="K183" s="476">
        <v>0.19</v>
      </c>
      <c r="L183" s="476">
        <v>0.19</v>
      </c>
      <c r="M183" s="476">
        <v>0.19</v>
      </c>
      <c r="N183" s="476">
        <v>0.19</v>
      </c>
      <c r="O183" t="s">
        <v>1668</v>
      </c>
      <c r="Q183" s="916">
        <v>0.19</v>
      </c>
    </row>
    <row r="184" spans="1:17">
      <c r="B184" s="29" t="str">
        <f>nmProd2Seg1 &amp; "  Consumption"</f>
        <v>Intelligent Cloud Enterprise  Consumption</v>
      </c>
      <c r="E184" s="476">
        <v>0.19</v>
      </c>
      <c r="F184" s="476">
        <v>0.19</v>
      </c>
      <c r="G184" s="476">
        <v>0.19</v>
      </c>
      <c r="H184" s="476">
        <v>0.19</v>
      </c>
      <c r="I184" s="476">
        <v>0.19</v>
      </c>
      <c r="J184" s="476">
        <v>0.19</v>
      </c>
      <c r="K184" s="476">
        <v>0.19</v>
      </c>
      <c r="L184" s="476">
        <v>0.19</v>
      </c>
      <c r="M184" s="476">
        <v>0.19</v>
      </c>
      <c r="N184" s="476">
        <v>0.19</v>
      </c>
      <c r="O184" t="s">
        <v>1669</v>
      </c>
      <c r="Q184" s="916">
        <v>0.19</v>
      </c>
    </row>
    <row r="185" spans="1:17">
      <c r="B185" s="29" t="str">
        <f>nmProd2Seg2 &amp; "  Consumption"</f>
        <v>Intelligent Cloud SMC  Consumption</v>
      </c>
      <c r="E185" s="476">
        <v>0.19</v>
      </c>
      <c r="F185" s="476">
        <v>0.19</v>
      </c>
      <c r="G185" s="476">
        <v>0.19</v>
      </c>
      <c r="H185" s="476">
        <v>0.19</v>
      </c>
      <c r="I185" s="476">
        <v>0.19</v>
      </c>
      <c r="J185" s="476">
        <v>0.19</v>
      </c>
      <c r="K185" s="476">
        <v>0.19</v>
      </c>
      <c r="L185" s="476">
        <v>0.19</v>
      </c>
      <c r="M185" s="476">
        <v>0.19</v>
      </c>
      <c r="N185" s="476">
        <v>0.19</v>
      </c>
      <c r="O185" t="s">
        <v>1670</v>
      </c>
      <c r="Q185" s="916">
        <v>0.19</v>
      </c>
    </row>
    <row r="186" spans="1:17" s="497" customFormat="1">
      <c r="E186" s="499"/>
      <c r="F186" s="499"/>
      <c r="G186" s="499"/>
      <c r="H186" s="499"/>
      <c r="I186" s="499"/>
      <c r="J186" s="499"/>
      <c r="K186" s="499"/>
      <c r="L186" s="499"/>
      <c r="M186" s="499"/>
      <c r="N186" s="499"/>
      <c r="Q186" s="920"/>
    </row>
    <row r="187" spans="1:17" s="497" customFormat="1">
      <c r="B187" s="497" t="s">
        <v>1689</v>
      </c>
      <c r="E187" s="499">
        <v>0.19</v>
      </c>
      <c r="F187" s="499">
        <v>0.19</v>
      </c>
      <c r="G187" s="499">
        <v>0.19</v>
      </c>
      <c r="H187" s="499">
        <v>0.19</v>
      </c>
      <c r="I187" s="499">
        <v>0.19</v>
      </c>
      <c r="J187" s="499">
        <v>0.19</v>
      </c>
      <c r="K187" s="499">
        <v>0.19</v>
      </c>
      <c r="L187" s="499">
        <v>0.19</v>
      </c>
      <c r="M187" s="499">
        <v>0.19</v>
      </c>
      <c r="N187" s="499">
        <v>0.19</v>
      </c>
      <c r="O187" s="578" t="s">
        <v>1696</v>
      </c>
      <c r="Q187" s="920">
        <v>0.19</v>
      </c>
    </row>
    <row r="188" spans="1:17" s="497" customFormat="1">
      <c r="E188" s="499"/>
      <c r="F188" s="499"/>
      <c r="G188" s="499"/>
      <c r="H188" s="499"/>
      <c r="I188" s="499"/>
      <c r="J188" s="499"/>
      <c r="K188" s="499"/>
      <c r="L188" s="499"/>
      <c r="M188" s="499"/>
      <c r="N188" s="499"/>
      <c r="Q188" s="920"/>
    </row>
    <row r="189" spans="1:17">
      <c r="A189" s="29" t="s">
        <v>772</v>
      </c>
      <c r="B189" s="29"/>
      <c r="C189" s="29"/>
      <c r="D189" s="29"/>
      <c r="E189" s="37"/>
      <c r="F189" s="37"/>
      <c r="G189" s="37"/>
      <c r="H189" s="37"/>
      <c r="I189" s="37"/>
      <c r="J189" s="37"/>
      <c r="K189" s="37"/>
      <c r="L189" s="37"/>
      <c r="M189" s="37"/>
      <c r="N189" s="37"/>
      <c r="Q189" s="914"/>
    </row>
    <row r="190" spans="1:17">
      <c r="B190" s="29" t="str">
        <f>nmProd1Seg1 &amp; "  RenRate"</f>
        <v>Productivity &amp; Business Enterprise  RenRate</v>
      </c>
      <c r="E190" s="476">
        <v>0.7</v>
      </c>
      <c r="F190" s="476">
        <v>0.7</v>
      </c>
      <c r="G190" s="476">
        <v>0.7</v>
      </c>
      <c r="H190" s="476">
        <v>0.7</v>
      </c>
      <c r="I190" s="476">
        <v>0.7</v>
      </c>
      <c r="J190" s="476">
        <v>0.7</v>
      </c>
      <c r="K190" s="476">
        <v>0.7</v>
      </c>
      <c r="L190" s="476">
        <v>0.7</v>
      </c>
      <c r="M190" s="476">
        <v>0.7</v>
      </c>
      <c r="N190" s="476">
        <v>0.7</v>
      </c>
      <c r="O190" t="s">
        <v>1728</v>
      </c>
      <c r="Q190" s="916">
        <v>0.7</v>
      </c>
    </row>
    <row r="191" spans="1:17">
      <c r="B191" s="29" t="str">
        <f>nmProd1Seg2 &amp; "  RenRate"</f>
        <v>Productivity &amp; Business SMC  RenRate</v>
      </c>
      <c r="E191" s="476">
        <v>0.7</v>
      </c>
      <c r="F191" s="476">
        <v>0.7</v>
      </c>
      <c r="G191" s="476">
        <v>0.7</v>
      </c>
      <c r="H191" s="476">
        <v>0.7</v>
      </c>
      <c r="I191" s="476">
        <v>0.7</v>
      </c>
      <c r="J191" s="476">
        <v>0.7</v>
      </c>
      <c r="K191" s="476">
        <v>0.7</v>
      </c>
      <c r="L191" s="476">
        <v>0.7</v>
      </c>
      <c r="M191" s="476">
        <v>0.7</v>
      </c>
      <c r="N191" s="476">
        <v>0.7</v>
      </c>
      <c r="O191" t="s">
        <v>1729</v>
      </c>
      <c r="Q191" s="916">
        <v>0.7</v>
      </c>
    </row>
    <row r="192" spans="1:17">
      <c r="B192" s="29" t="str">
        <f>nmProd1Seg3 &amp; " Total RenRate"</f>
        <v>Productivity &amp; Business Consumer Total RenRate</v>
      </c>
      <c r="E192" s="476">
        <v>0.7</v>
      </c>
      <c r="F192" s="476">
        <v>0.7</v>
      </c>
      <c r="G192" s="476">
        <v>0.7</v>
      </c>
      <c r="H192" s="476">
        <v>0.7</v>
      </c>
      <c r="I192" s="476">
        <v>0.7</v>
      </c>
      <c r="J192" s="476">
        <v>0.7</v>
      </c>
      <c r="K192" s="476">
        <v>0.7</v>
      </c>
      <c r="L192" s="476">
        <v>0.7</v>
      </c>
      <c r="M192" s="476">
        <v>0.7</v>
      </c>
      <c r="N192" s="476">
        <v>0.7</v>
      </c>
      <c r="O192" t="s">
        <v>1730</v>
      </c>
      <c r="Q192" s="916">
        <v>0.7</v>
      </c>
    </row>
    <row r="193" spans="1:17">
      <c r="B193" s="29" t="str">
        <f>nmProd2Seg1 &amp; "  RenRate"</f>
        <v>Intelligent Cloud Enterprise  RenRate</v>
      </c>
      <c r="E193" s="476">
        <v>0.7</v>
      </c>
      <c r="F193" s="476">
        <v>0.7</v>
      </c>
      <c r="G193" s="476">
        <v>0.7</v>
      </c>
      <c r="H193" s="476">
        <v>0.7</v>
      </c>
      <c r="I193" s="476">
        <v>0.7</v>
      </c>
      <c r="J193" s="476">
        <v>0.7</v>
      </c>
      <c r="K193" s="476">
        <v>0.7</v>
      </c>
      <c r="L193" s="476">
        <v>0.7</v>
      </c>
      <c r="M193" s="476">
        <v>0.7</v>
      </c>
      <c r="N193" s="476">
        <v>0.7</v>
      </c>
      <c r="O193" t="s">
        <v>1731</v>
      </c>
      <c r="Q193" s="916">
        <v>0.7</v>
      </c>
    </row>
    <row r="194" spans="1:17">
      <c r="B194" s="29" t="str">
        <f>nmProd2Seg2 &amp; "  RenRate"</f>
        <v>Intelligent Cloud SMC  RenRate</v>
      </c>
      <c r="E194" s="476">
        <v>0.7</v>
      </c>
      <c r="F194" s="476">
        <v>0.7</v>
      </c>
      <c r="G194" s="476">
        <v>0.7</v>
      </c>
      <c r="H194" s="476">
        <v>0.7</v>
      </c>
      <c r="I194" s="476">
        <v>0.7</v>
      </c>
      <c r="J194" s="476">
        <v>0.7</v>
      </c>
      <c r="K194" s="476">
        <v>0.7</v>
      </c>
      <c r="L194" s="476">
        <v>0.7</v>
      </c>
      <c r="M194" s="476">
        <v>0.7</v>
      </c>
      <c r="N194" s="476">
        <v>0.7</v>
      </c>
      <c r="O194" t="s">
        <v>1732</v>
      </c>
      <c r="Q194" s="916">
        <v>0.7</v>
      </c>
    </row>
    <row r="195" spans="1:17" s="497" customFormat="1">
      <c r="E195" s="499"/>
      <c r="F195" s="499"/>
      <c r="G195" s="499"/>
      <c r="H195" s="499"/>
      <c r="I195" s="499"/>
      <c r="J195" s="499"/>
      <c r="K195" s="499"/>
      <c r="L195" s="499"/>
      <c r="M195" s="499"/>
      <c r="N195" s="499"/>
      <c r="Q195" s="920"/>
    </row>
    <row r="196" spans="1:17" s="497" customFormat="1">
      <c r="B196" s="497" t="s">
        <v>1740</v>
      </c>
      <c r="E196" s="476">
        <v>0.7</v>
      </c>
      <c r="F196" s="476">
        <v>0.7</v>
      </c>
      <c r="G196" s="476">
        <v>0.7</v>
      </c>
      <c r="H196" s="476">
        <v>0.7</v>
      </c>
      <c r="I196" s="476">
        <v>0.7</v>
      </c>
      <c r="J196" s="476">
        <v>0.7</v>
      </c>
      <c r="K196" s="476">
        <v>0.7</v>
      </c>
      <c r="L196" s="476">
        <v>0.7</v>
      </c>
      <c r="M196" s="476">
        <v>0.7</v>
      </c>
      <c r="N196" s="476">
        <v>0.7</v>
      </c>
      <c r="O196" s="578" t="s">
        <v>1733</v>
      </c>
      <c r="Q196" s="920">
        <v>0.7</v>
      </c>
    </row>
    <row r="197" spans="1:17" s="497" customFormat="1">
      <c r="E197" s="499"/>
      <c r="F197" s="498"/>
      <c r="G197" s="498"/>
      <c r="H197" s="498"/>
      <c r="I197" s="498"/>
      <c r="J197" s="498"/>
      <c r="K197" s="498"/>
      <c r="L197" s="498"/>
      <c r="M197" s="498"/>
      <c r="N197" s="498"/>
      <c r="Q197" s="918"/>
    </row>
    <row r="198" spans="1:17">
      <c r="A198" s="29" t="s">
        <v>203</v>
      </c>
      <c r="B198" s="29"/>
      <c r="C198" s="29"/>
      <c r="D198" s="29"/>
      <c r="E198" s="37"/>
      <c r="F198" s="37"/>
      <c r="G198" s="37"/>
      <c r="H198" s="37"/>
      <c r="I198" s="37"/>
      <c r="J198" s="37"/>
      <c r="K198" s="37"/>
      <c r="L198" s="37"/>
      <c r="M198" s="37"/>
      <c r="N198" s="37"/>
      <c r="Q198" s="914"/>
    </row>
    <row r="199" spans="1:17">
      <c r="B199" s="29" t="str">
        <f>nmProd1&amp;" New COGS"</f>
        <v>Productivity &amp; Business New COGS</v>
      </c>
      <c r="E199" s="728">
        <v>3</v>
      </c>
      <c r="F199" s="728">
        <v>3</v>
      </c>
      <c r="G199" s="728">
        <v>3</v>
      </c>
      <c r="H199" s="728">
        <v>3</v>
      </c>
      <c r="I199" s="728">
        <v>3</v>
      </c>
      <c r="J199" s="728">
        <v>3</v>
      </c>
      <c r="K199" s="728">
        <v>3</v>
      </c>
      <c r="L199" s="728">
        <v>3</v>
      </c>
      <c r="M199" s="728">
        <v>3</v>
      </c>
      <c r="N199" s="728">
        <v>3</v>
      </c>
      <c r="O199" t="s">
        <v>1766</v>
      </c>
      <c r="Q199" s="921">
        <v>3</v>
      </c>
    </row>
    <row r="200" spans="1:17">
      <c r="B200" s="29" t="str">
        <f>nmProd1&amp;" Renewal COGS"</f>
        <v>Productivity &amp; Business Renewal COGS</v>
      </c>
      <c r="E200" s="728">
        <v>2.7</v>
      </c>
      <c r="F200" s="728">
        <v>2.7</v>
      </c>
      <c r="G200" s="728">
        <v>2.7</v>
      </c>
      <c r="H200" s="728">
        <v>2.7</v>
      </c>
      <c r="I200" s="728">
        <v>2.7</v>
      </c>
      <c r="J200" s="728">
        <v>2.7</v>
      </c>
      <c r="K200" s="728">
        <v>2.7</v>
      </c>
      <c r="L200" s="728">
        <v>2.7</v>
      </c>
      <c r="M200" s="728">
        <v>2.7</v>
      </c>
      <c r="N200" s="728">
        <v>2.7</v>
      </c>
      <c r="O200" t="s">
        <v>1767</v>
      </c>
      <c r="Q200" s="921">
        <v>2.7</v>
      </c>
    </row>
    <row r="201" spans="1:17">
      <c r="B201" s="29" t="str">
        <f>nmProd2&amp;" New COGS"</f>
        <v>Intelligent Cloud New COGS</v>
      </c>
      <c r="E201" s="728">
        <v>9.5</v>
      </c>
      <c r="F201" s="728">
        <v>9.5</v>
      </c>
      <c r="G201" s="728">
        <v>9.5</v>
      </c>
      <c r="H201" s="728">
        <v>9.5</v>
      </c>
      <c r="I201" s="728">
        <v>9.5</v>
      </c>
      <c r="J201" s="728">
        <v>9.5</v>
      </c>
      <c r="K201" s="728">
        <v>9.5</v>
      </c>
      <c r="L201" s="728">
        <v>9.5</v>
      </c>
      <c r="M201" s="728">
        <v>9.5</v>
      </c>
      <c r="N201" s="728">
        <v>9.5</v>
      </c>
      <c r="O201" t="s">
        <v>1768</v>
      </c>
      <c r="Q201" s="921">
        <v>9.5</v>
      </c>
    </row>
    <row r="202" spans="1:17">
      <c r="B202" s="29" t="str">
        <f>nmProd2&amp;" Renewal COGS"</f>
        <v>Intelligent Cloud Renewal COGS</v>
      </c>
      <c r="E202" s="728">
        <v>8.5</v>
      </c>
      <c r="F202" s="728">
        <v>8.5</v>
      </c>
      <c r="G202" s="728">
        <v>8.5</v>
      </c>
      <c r="H202" s="728">
        <v>8.5</v>
      </c>
      <c r="I202" s="728">
        <v>8.5</v>
      </c>
      <c r="J202" s="728">
        <v>8.5</v>
      </c>
      <c r="K202" s="728">
        <v>8.5</v>
      </c>
      <c r="L202" s="728">
        <v>8.5</v>
      </c>
      <c r="M202" s="728">
        <v>8.5</v>
      </c>
      <c r="N202" s="728">
        <v>8.5</v>
      </c>
      <c r="O202" t="s">
        <v>1769</v>
      </c>
      <c r="Q202" s="921">
        <v>8.5</v>
      </c>
    </row>
    <row r="203" spans="1:17">
      <c r="B203" s="29" t="str">
        <f>nmProd3&amp;" Material COGS"</f>
        <v>Personal Computing Material COGS</v>
      </c>
      <c r="E203" s="728">
        <v>96</v>
      </c>
      <c r="F203" s="728">
        <v>96</v>
      </c>
      <c r="G203" s="728">
        <v>96</v>
      </c>
      <c r="H203" s="728">
        <v>96</v>
      </c>
      <c r="I203" s="728">
        <v>96</v>
      </c>
      <c r="J203" s="728">
        <v>96</v>
      </c>
      <c r="K203" s="728">
        <v>96</v>
      </c>
      <c r="L203" s="728">
        <v>96</v>
      </c>
      <c r="M203" s="728">
        <v>96</v>
      </c>
      <c r="N203" s="728">
        <v>96</v>
      </c>
      <c r="O203" t="s">
        <v>1771</v>
      </c>
      <c r="Q203" s="921">
        <v>96</v>
      </c>
    </row>
    <row r="204" spans="1:17">
      <c r="B204" s="29" t="str">
        <f>nmProd3&amp;" Labor COGS"</f>
        <v>Personal Computing Labor COGS</v>
      </c>
      <c r="E204" s="728">
        <v>80</v>
      </c>
      <c r="F204" s="728">
        <v>80</v>
      </c>
      <c r="G204" s="728">
        <v>80</v>
      </c>
      <c r="H204" s="728">
        <v>80</v>
      </c>
      <c r="I204" s="728">
        <v>80</v>
      </c>
      <c r="J204" s="728">
        <v>80</v>
      </c>
      <c r="K204" s="728">
        <v>80</v>
      </c>
      <c r="L204" s="728">
        <v>80</v>
      </c>
      <c r="M204" s="728">
        <v>80</v>
      </c>
      <c r="N204" s="728">
        <v>80</v>
      </c>
      <c r="O204" t="s">
        <v>1770</v>
      </c>
      <c r="Q204" s="921">
        <v>80</v>
      </c>
    </row>
    <row r="205" spans="1:17" s="497" customFormat="1">
      <c r="E205" s="499"/>
      <c r="F205" s="499"/>
      <c r="G205" s="499"/>
      <c r="H205" s="499"/>
      <c r="I205" s="499"/>
      <c r="J205" s="499"/>
      <c r="K205" s="499"/>
      <c r="L205" s="499"/>
      <c r="M205" s="499"/>
      <c r="N205" s="499"/>
      <c r="Q205" s="920"/>
    </row>
    <row r="206" spans="1:17">
      <c r="A206" s="29" t="s">
        <v>2192</v>
      </c>
      <c r="B206" s="29"/>
      <c r="C206" s="29"/>
      <c r="D206" s="29"/>
      <c r="E206" s="37"/>
      <c r="F206" s="37"/>
      <c r="G206" s="37"/>
      <c r="H206" s="37"/>
      <c r="I206" s="37"/>
      <c r="J206" s="37"/>
      <c r="K206" s="37"/>
      <c r="L206" s="37"/>
      <c r="M206" s="37"/>
      <c r="N206" s="37"/>
      <c r="Q206" s="914"/>
    </row>
    <row r="207" spans="1:17">
      <c r="B207" s="29" t="str">
        <f>nmProd1Seg1 &amp; " New Customers"</f>
        <v>Productivity &amp; Business Enterprise New Customers</v>
      </c>
      <c r="E207" s="30">
        <v>186.46347351524869</v>
      </c>
      <c r="F207" s="30">
        <v>186.46347351524869</v>
      </c>
      <c r="G207" s="30">
        <v>186.46347351524869</v>
      </c>
      <c r="H207" s="30">
        <v>186.46347351524869</v>
      </c>
      <c r="I207" s="30">
        <v>186.46347351524869</v>
      </c>
      <c r="J207" s="30">
        <v>186.46347351524869</v>
      </c>
      <c r="K207" s="30">
        <v>186.46347351524869</v>
      </c>
      <c r="L207" s="30">
        <v>186.46347351524869</v>
      </c>
      <c r="M207" s="30">
        <v>186.46347351524869</v>
      </c>
      <c r="N207" s="30">
        <v>186.46347351524869</v>
      </c>
      <c r="O207" t="s">
        <v>2517</v>
      </c>
      <c r="Q207" s="915">
        <v>120</v>
      </c>
    </row>
    <row r="208" spans="1:17">
      <c r="B208" s="29" t="str">
        <f>nmProd1Seg1 &amp; " Renewed Customers"</f>
        <v>Productivity &amp; Business Enterprise Renewed Customers</v>
      </c>
      <c r="E208" s="30">
        <v>341.25</v>
      </c>
      <c r="F208" s="30">
        <v>341.25</v>
      </c>
      <c r="G208" s="30">
        <v>341.25</v>
      </c>
      <c r="H208" s="30">
        <v>341.25</v>
      </c>
      <c r="I208" s="30">
        <v>341.25</v>
      </c>
      <c r="J208" s="30">
        <v>341.25</v>
      </c>
      <c r="K208" s="30">
        <v>341.25</v>
      </c>
      <c r="L208" s="30">
        <v>341.25</v>
      </c>
      <c r="M208" s="30">
        <v>341.25</v>
      </c>
      <c r="N208" s="30">
        <v>341.25</v>
      </c>
      <c r="O208" t="s">
        <v>2518</v>
      </c>
      <c r="Q208" s="915">
        <v>140.625</v>
      </c>
    </row>
    <row r="209" spans="1:17">
      <c r="B209" s="29" t="str">
        <f>nmProd1Seg1 &amp; " Total Customers"</f>
        <v>Productivity &amp; Business Enterprise Total Customers</v>
      </c>
      <c r="E209" s="30">
        <v>527.71347351524867</v>
      </c>
      <c r="F209" s="30">
        <v>527.71347351524867</v>
      </c>
      <c r="G209" s="30">
        <v>527.71347351524867</v>
      </c>
      <c r="H209" s="30">
        <v>527.71347351524867</v>
      </c>
      <c r="I209" s="30">
        <v>527.71347351524867</v>
      </c>
      <c r="J209" s="30">
        <v>527.71347351524867</v>
      </c>
      <c r="K209" s="30">
        <v>527.71347351524867</v>
      </c>
      <c r="L209" s="30">
        <v>527.71347351524867</v>
      </c>
      <c r="M209" s="30">
        <v>527.71347351524867</v>
      </c>
      <c r="N209" s="30">
        <v>527.71347351524867</v>
      </c>
      <c r="O209" t="s">
        <v>2519</v>
      </c>
      <c r="Q209" s="915">
        <v>260.625</v>
      </c>
    </row>
    <row r="210" spans="1:17">
      <c r="B210" s="29"/>
      <c r="E210" s="30"/>
      <c r="F210" s="30"/>
      <c r="G210" s="30"/>
      <c r="H210" s="30"/>
      <c r="I210" s="30"/>
      <c r="J210" s="30"/>
      <c r="K210" s="30"/>
      <c r="L210" s="30"/>
      <c r="M210" s="30"/>
      <c r="N210" s="30"/>
      <c r="Q210" s="915"/>
    </row>
    <row r="211" spans="1:17">
      <c r="B211" s="29" t="str">
        <f>nmProd1Seg2 &amp; " New Customers"</f>
        <v>Productivity &amp; Business SMC New Customers</v>
      </c>
      <c r="E211" s="30">
        <v>819.22786655817742</v>
      </c>
      <c r="F211" s="30">
        <v>819.22786655817742</v>
      </c>
      <c r="G211" s="30">
        <v>819.22786655817742</v>
      </c>
      <c r="H211" s="30">
        <v>819.22786655817742</v>
      </c>
      <c r="I211" s="30">
        <v>819.22786655817742</v>
      </c>
      <c r="J211" s="30">
        <v>819.22786655817742</v>
      </c>
      <c r="K211" s="30">
        <v>819.22786655817742</v>
      </c>
      <c r="L211" s="30">
        <v>819.22786655817742</v>
      </c>
      <c r="M211" s="30">
        <v>819.22786655817742</v>
      </c>
      <c r="N211" s="30">
        <v>819.22786655817742</v>
      </c>
      <c r="O211" t="s">
        <v>2520</v>
      </c>
      <c r="Q211" s="915">
        <v>168</v>
      </c>
    </row>
    <row r="212" spans="1:17">
      <c r="B212" s="29" t="str">
        <f>nmProd1Seg2 &amp; " Renewed Customers"</f>
        <v>Productivity &amp; Business SMC Renewed Customers</v>
      </c>
      <c r="E212" s="30">
        <v>2388.75</v>
      </c>
      <c r="F212" s="30">
        <v>2388.75</v>
      </c>
      <c r="G212" s="30">
        <v>2388.75</v>
      </c>
      <c r="H212" s="30">
        <v>2388.75</v>
      </c>
      <c r="I212" s="30">
        <v>2388.75</v>
      </c>
      <c r="J212" s="30">
        <v>2388.75</v>
      </c>
      <c r="K212" s="30">
        <v>2388.75</v>
      </c>
      <c r="L212" s="30">
        <v>2388.75</v>
      </c>
      <c r="M212" s="30">
        <v>2388.75</v>
      </c>
      <c r="N212" s="30">
        <v>2388.75</v>
      </c>
      <c r="O212" t="s">
        <v>2521</v>
      </c>
      <c r="Q212" s="915">
        <v>616.875</v>
      </c>
    </row>
    <row r="213" spans="1:17">
      <c r="B213" s="29" t="str">
        <f>nmProd1Seg2 &amp; " Total Customers"</f>
        <v>Productivity &amp; Business SMC Total Customers</v>
      </c>
      <c r="E213" s="30">
        <v>3207.9778665581775</v>
      </c>
      <c r="F213" s="30">
        <v>3207.9778665581775</v>
      </c>
      <c r="G213" s="30">
        <v>3207.9778665581775</v>
      </c>
      <c r="H213" s="30">
        <v>3207.9778665581775</v>
      </c>
      <c r="I213" s="30">
        <v>3207.9778665581775</v>
      </c>
      <c r="J213" s="30">
        <v>3207.9778665581775</v>
      </c>
      <c r="K213" s="30">
        <v>3207.9778665581775</v>
      </c>
      <c r="L213" s="30">
        <v>3207.9778665581775</v>
      </c>
      <c r="M213" s="30">
        <v>3207.9778665581775</v>
      </c>
      <c r="N213" s="30">
        <v>3207.9778665581775</v>
      </c>
      <c r="O213" t="s">
        <v>2522</v>
      </c>
      <c r="Q213" s="915">
        <v>784.875</v>
      </c>
    </row>
    <row r="214" spans="1:17" s="497" customFormat="1">
      <c r="E214" s="499"/>
      <c r="F214" s="499"/>
      <c r="G214" s="499"/>
      <c r="H214" s="499"/>
      <c r="I214" s="499"/>
      <c r="J214" s="499"/>
      <c r="K214" s="499"/>
      <c r="L214" s="499"/>
      <c r="M214" s="499"/>
      <c r="N214" s="499"/>
      <c r="Q214" s="920"/>
    </row>
    <row r="215" spans="1:17">
      <c r="B215" s="29" t="str">
        <f>nmProd2Seg1 &amp; " New Customers"</f>
        <v>Intelligent Cloud Enterprise New Customers</v>
      </c>
      <c r="E215" s="30">
        <v>110.14879477210127</v>
      </c>
      <c r="F215" s="30">
        <v>110.14879477210127</v>
      </c>
      <c r="G215" s="30">
        <v>110.14879477210127</v>
      </c>
      <c r="H215" s="30">
        <v>110.14879477210127</v>
      </c>
      <c r="I215" s="30">
        <v>110.14879477210127</v>
      </c>
      <c r="J215" s="30">
        <v>110.14879477210127</v>
      </c>
      <c r="K215" s="30">
        <v>110.14879477210127</v>
      </c>
      <c r="L215" s="30">
        <v>110.14879477210127</v>
      </c>
      <c r="M215" s="30">
        <v>110.14879477210127</v>
      </c>
      <c r="N215" s="30">
        <v>110.14879477210127</v>
      </c>
      <c r="O215" t="s">
        <v>2523</v>
      </c>
      <c r="Q215" s="915">
        <v>53.527500000000003</v>
      </c>
    </row>
    <row r="216" spans="1:17">
      <c r="B216" s="29" t="str">
        <f>nmProd2Seg1 &amp; " Renewed Customers"</f>
        <v>Intelligent Cloud Enterprise Renewed Customers</v>
      </c>
      <c r="E216" s="30">
        <v>122.85</v>
      </c>
      <c r="F216" s="30">
        <v>122.85</v>
      </c>
      <c r="G216" s="30">
        <v>122.85</v>
      </c>
      <c r="H216" s="30">
        <v>122.85</v>
      </c>
      <c r="I216" s="30">
        <v>122.85</v>
      </c>
      <c r="J216" s="30">
        <v>122.85</v>
      </c>
      <c r="K216" s="30">
        <v>122.85</v>
      </c>
      <c r="L216" s="30">
        <v>122.85</v>
      </c>
      <c r="M216" s="30">
        <v>122.85</v>
      </c>
      <c r="N216" s="30">
        <v>122.85</v>
      </c>
      <c r="O216" t="s">
        <v>2524</v>
      </c>
      <c r="Q216" s="915">
        <v>70.2</v>
      </c>
    </row>
    <row r="217" spans="1:17">
      <c r="B217" s="29" t="str">
        <f>nmProd2Seg1 &amp; " Total Customers"</f>
        <v>Intelligent Cloud Enterprise Total Customers</v>
      </c>
      <c r="E217" s="30">
        <v>232.99879477210126</v>
      </c>
      <c r="F217" s="30">
        <v>232.99879477210126</v>
      </c>
      <c r="G217" s="30">
        <v>232.99879477210126</v>
      </c>
      <c r="H217" s="30">
        <v>232.99879477210126</v>
      </c>
      <c r="I217" s="30">
        <v>232.99879477210126</v>
      </c>
      <c r="J217" s="30">
        <v>232.99879477210126</v>
      </c>
      <c r="K217" s="30">
        <v>232.99879477210126</v>
      </c>
      <c r="L217" s="30">
        <v>232.99879477210126</v>
      </c>
      <c r="M217" s="30">
        <v>232.99879477210126</v>
      </c>
      <c r="N217" s="30">
        <v>232.99879477210126</v>
      </c>
      <c r="O217" t="s">
        <v>2525</v>
      </c>
      <c r="Q217" s="915">
        <v>123.72750000000001</v>
      </c>
    </row>
    <row r="218" spans="1:17">
      <c r="B218" s="29"/>
      <c r="E218" s="30"/>
      <c r="F218" s="30"/>
      <c r="G218" s="30"/>
      <c r="H218" s="30"/>
      <c r="I218" s="30"/>
      <c r="J218" s="30"/>
      <c r="K218" s="30"/>
      <c r="L218" s="30"/>
      <c r="M218" s="30"/>
      <c r="N218" s="30"/>
      <c r="Q218" s="915"/>
    </row>
    <row r="219" spans="1:17">
      <c r="B219" s="29" t="str">
        <f>nmProd2Seg2 &amp; " New Customers"</f>
        <v>Intelligent Cloud SMC New Customers</v>
      </c>
      <c r="E219" s="30">
        <v>1702.3390472343265</v>
      </c>
      <c r="F219" s="30">
        <v>1702.3390472343265</v>
      </c>
      <c r="G219" s="30">
        <v>1702.3390472343265</v>
      </c>
      <c r="H219" s="30">
        <v>1702.3390472343265</v>
      </c>
      <c r="I219" s="30">
        <v>1702.3390472343265</v>
      </c>
      <c r="J219" s="30">
        <v>1702.3390472343265</v>
      </c>
      <c r="K219" s="30">
        <v>1702.3390472343265</v>
      </c>
      <c r="L219" s="30">
        <v>1702.3390472343265</v>
      </c>
      <c r="M219" s="30">
        <v>1702.3390472343265</v>
      </c>
      <c r="N219" s="30">
        <v>1702.3390472343265</v>
      </c>
      <c r="O219" t="s">
        <v>2526</v>
      </c>
      <c r="Q219" s="915">
        <v>72</v>
      </c>
    </row>
    <row r="220" spans="1:17">
      <c r="B220" s="29" t="str">
        <f>nmProd2Seg2 &amp; " Renewed Customers"</f>
        <v>Intelligent Cloud SMC Renewed Customers</v>
      </c>
      <c r="E220" s="30">
        <v>840</v>
      </c>
      <c r="F220" s="30">
        <v>840</v>
      </c>
      <c r="G220" s="30">
        <v>840</v>
      </c>
      <c r="H220" s="30">
        <v>840</v>
      </c>
      <c r="I220" s="30">
        <v>840</v>
      </c>
      <c r="J220" s="30">
        <v>840</v>
      </c>
      <c r="K220" s="30">
        <v>840</v>
      </c>
      <c r="L220" s="30">
        <v>840</v>
      </c>
      <c r="M220" s="30">
        <v>840</v>
      </c>
      <c r="N220" s="30">
        <v>840</v>
      </c>
      <c r="O220" t="s">
        <v>2527</v>
      </c>
      <c r="Q220" s="915">
        <v>300</v>
      </c>
    </row>
    <row r="221" spans="1:17">
      <c r="B221" s="29" t="str">
        <f>nmProd2Seg2 &amp; " Total Customers"</f>
        <v>Intelligent Cloud SMC Total Customers</v>
      </c>
      <c r="E221" s="30">
        <v>2542.3390472343262</v>
      </c>
      <c r="F221" s="30">
        <v>2542.3390472343262</v>
      </c>
      <c r="G221" s="30">
        <v>2542.3390472343262</v>
      </c>
      <c r="H221" s="30">
        <v>2542.3390472343262</v>
      </c>
      <c r="I221" s="30">
        <v>2542.3390472343262</v>
      </c>
      <c r="J221" s="30">
        <v>2542.3390472343262</v>
      </c>
      <c r="K221" s="30">
        <v>2542.3390472343262</v>
      </c>
      <c r="L221" s="30">
        <v>2542.3390472343262</v>
      </c>
      <c r="M221" s="30">
        <v>2542.3390472343262</v>
      </c>
      <c r="N221" s="30">
        <v>2542.3390472343262</v>
      </c>
      <c r="O221" t="s">
        <v>2528</v>
      </c>
      <c r="Q221" s="915">
        <v>372</v>
      </c>
    </row>
    <row r="222" spans="1:17" s="497" customFormat="1">
      <c r="E222" s="499"/>
      <c r="F222" s="499"/>
      <c r="G222" s="499"/>
      <c r="H222" s="499"/>
      <c r="I222" s="499"/>
      <c r="J222" s="499"/>
      <c r="K222" s="499"/>
      <c r="L222" s="499"/>
      <c r="M222" s="499"/>
      <c r="N222" s="499"/>
      <c r="Q222" s="920"/>
    </row>
    <row r="223" spans="1:17" s="497" customFormat="1">
      <c r="A223" s="497" t="s">
        <v>1446</v>
      </c>
      <c r="E223" s="627"/>
      <c r="F223" s="627"/>
      <c r="G223" s="627"/>
      <c r="H223" s="627"/>
      <c r="I223" s="627"/>
      <c r="J223" s="627"/>
      <c r="K223" s="627"/>
      <c r="L223" s="627"/>
      <c r="M223" s="627"/>
      <c r="N223" s="627"/>
      <c r="Q223" s="918"/>
    </row>
    <row r="224" spans="1:17" s="497" customFormat="1">
      <c r="B224" s="497" t="str">
        <f>nmProd1Seg1</f>
        <v>Productivity &amp; Business Enterprise</v>
      </c>
      <c r="E224" s="577">
        <v>39578510.513643652</v>
      </c>
      <c r="F224" s="577">
        <v>39578510.513643652</v>
      </c>
      <c r="G224" s="577">
        <v>39578510.513643652</v>
      </c>
      <c r="H224" s="577">
        <v>39578510.513643652</v>
      </c>
      <c r="I224" s="577">
        <v>39578510.513643652</v>
      </c>
      <c r="J224" s="577">
        <v>39578510.513643652</v>
      </c>
      <c r="K224" s="577">
        <v>39578510.513643652</v>
      </c>
      <c r="L224" s="577">
        <v>39578510.513643652</v>
      </c>
      <c r="M224" s="577">
        <v>39578510.513643652</v>
      </c>
      <c r="N224" s="577">
        <v>39578510.513643652</v>
      </c>
      <c r="O224" s="578" t="s">
        <v>1447</v>
      </c>
      <c r="Q224" s="919">
        <v>38124450.000000007</v>
      </c>
    </row>
    <row r="225" spans="1:17" s="497" customFormat="1">
      <c r="B225" s="497" t="str">
        <f>nmProd1Seg2</f>
        <v>Productivity &amp; Business SMC</v>
      </c>
      <c r="E225" s="577">
        <v>24059833.99918633</v>
      </c>
      <c r="F225" s="577">
        <v>24059833.99918633</v>
      </c>
      <c r="G225" s="577">
        <v>24059833.99918633</v>
      </c>
      <c r="H225" s="577">
        <v>24059833.99918633</v>
      </c>
      <c r="I225" s="577">
        <v>24059833.99918633</v>
      </c>
      <c r="J225" s="577">
        <v>24059833.99918633</v>
      </c>
      <c r="K225" s="577">
        <v>24059833.99918633</v>
      </c>
      <c r="L225" s="577">
        <v>24059833.99918633</v>
      </c>
      <c r="M225" s="577">
        <v>24059833.99918633</v>
      </c>
      <c r="N225" s="577">
        <v>24059833.99918633</v>
      </c>
      <c r="O225" s="578" t="s">
        <v>1449</v>
      </c>
      <c r="Q225" s="919">
        <v>24508575</v>
      </c>
    </row>
    <row r="226" spans="1:17" s="497" customFormat="1">
      <c r="B226" s="497" t="str">
        <f>nmProd1Seg3</f>
        <v>Productivity &amp; Business Consumer</v>
      </c>
      <c r="E226" s="577">
        <v>64019125.799999997</v>
      </c>
      <c r="F226" s="577">
        <v>64019125.799999997</v>
      </c>
      <c r="G226" s="577">
        <v>64019125.799999997</v>
      </c>
      <c r="H226" s="577">
        <v>64019125.799999997</v>
      </c>
      <c r="I226" s="577">
        <v>64019125.799999997</v>
      </c>
      <c r="J226" s="577">
        <v>64019125.799999997</v>
      </c>
      <c r="K226" s="577">
        <v>64019125.799999997</v>
      </c>
      <c r="L226" s="577">
        <v>64019125.799999997</v>
      </c>
      <c r="M226" s="577">
        <v>64019125.799999997</v>
      </c>
      <c r="N226" s="577">
        <v>64019125.799999997</v>
      </c>
      <c r="O226" s="578" t="s">
        <v>1450</v>
      </c>
      <c r="Q226" s="919">
        <v>45749340.000000015</v>
      </c>
    </row>
    <row r="227" spans="1:17" s="497" customFormat="1">
      <c r="E227" s="499"/>
      <c r="F227" s="499"/>
      <c r="G227" s="499"/>
      <c r="H227" s="499"/>
      <c r="I227" s="499"/>
      <c r="J227" s="499"/>
      <c r="K227" s="499"/>
      <c r="L227" s="499"/>
      <c r="M227" s="499"/>
      <c r="N227" s="499"/>
      <c r="Q227" s="920"/>
    </row>
    <row r="228" spans="1:17" s="497" customFormat="1">
      <c r="B228" s="497" t="str">
        <f>nmProd2Seg1</f>
        <v>Intelligent Cloud Enterprise</v>
      </c>
      <c r="E228" s="577">
        <v>58249698.693025321</v>
      </c>
      <c r="F228" s="577">
        <v>58249698.693025321</v>
      </c>
      <c r="G228" s="577">
        <v>58249698.693025321</v>
      </c>
      <c r="H228" s="577">
        <v>58249698.693025321</v>
      </c>
      <c r="I228" s="577">
        <v>58249698.693025321</v>
      </c>
      <c r="J228" s="577">
        <v>58249698.693025321</v>
      </c>
      <c r="K228" s="577">
        <v>58249698.693025321</v>
      </c>
      <c r="L228" s="577">
        <v>58249698.693025321</v>
      </c>
      <c r="M228" s="577">
        <v>58249698.693025321</v>
      </c>
      <c r="N228" s="577">
        <v>58249698.693025321</v>
      </c>
      <c r="O228" s="578" t="s">
        <v>1448</v>
      </c>
      <c r="Q228" s="919">
        <v>49595130</v>
      </c>
    </row>
    <row r="229" spans="1:17" s="497" customFormat="1">
      <c r="B229" s="497" t="str">
        <f>nmProd2Seg2</f>
        <v>Intelligent Cloud SMC</v>
      </c>
      <c r="E229" s="577">
        <v>63558476.180858158</v>
      </c>
      <c r="F229" s="577">
        <v>63558476.180858158</v>
      </c>
      <c r="G229" s="577">
        <v>63558476.180858158</v>
      </c>
      <c r="H229" s="577">
        <v>63558476.180858158</v>
      </c>
      <c r="I229" s="577">
        <v>63558476.180858158</v>
      </c>
      <c r="J229" s="577">
        <v>63558476.180858158</v>
      </c>
      <c r="K229" s="577">
        <v>63558476.180858158</v>
      </c>
      <c r="L229" s="577">
        <v>63558476.180858158</v>
      </c>
      <c r="M229" s="577">
        <v>63558476.180858158</v>
      </c>
      <c r="N229" s="577">
        <v>63558476.180858158</v>
      </c>
      <c r="O229" s="578" t="s">
        <v>1451</v>
      </c>
      <c r="Q229" s="919">
        <v>68193303.750000015</v>
      </c>
    </row>
    <row r="230" spans="1:17" s="497" customFormat="1">
      <c r="E230" s="627"/>
      <c r="F230" s="498"/>
      <c r="G230" s="498"/>
      <c r="H230" s="498"/>
      <c r="I230" s="498"/>
      <c r="J230" s="498"/>
      <c r="K230" s="498"/>
      <c r="L230" s="498"/>
      <c r="M230" s="498"/>
      <c r="N230" s="498"/>
      <c r="Q230" s="918"/>
    </row>
    <row r="231" spans="1:17" s="497" customFormat="1">
      <c r="A231" s="497" t="s">
        <v>1580</v>
      </c>
      <c r="E231" s="499"/>
      <c r="F231" s="498"/>
      <c r="G231" s="498"/>
      <c r="H231" s="498"/>
      <c r="I231" s="498"/>
      <c r="J231" s="498"/>
      <c r="K231" s="498"/>
      <c r="L231" s="498"/>
      <c r="M231" s="498"/>
      <c r="N231" s="498"/>
      <c r="Q231" s="918"/>
    </row>
    <row r="232" spans="1:17" s="497" customFormat="1">
      <c r="B232" s="497" t="str">
        <f>nmProd1Seg1</f>
        <v>Productivity &amp; Business Enterprise</v>
      </c>
      <c r="E232" s="499">
        <v>0.4</v>
      </c>
      <c r="F232" s="499">
        <v>0.4</v>
      </c>
      <c r="G232" s="499">
        <v>0.4</v>
      </c>
      <c r="H232" s="499">
        <v>0.4</v>
      </c>
      <c r="I232" s="499">
        <v>0.4</v>
      </c>
      <c r="J232" s="499">
        <v>0.4</v>
      </c>
      <c r="K232" s="499">
        <v>0.4</v>
      </c>
      <c r="L232" s="499">
        <v>0.4</v>
      </c>
      <c r="M232" s="499">
        <v>0.4</v>
      </c>
      <c r="N232" s="499">
        <v>0.4</v>
      </c>
      <c r="O232" s="578" t="s">
        <v>1616</v>
      </c>
      <c r="Q232" s="920">
        <v>0.4</v>
      </c>
    </row>
    <row r="233" spans="1:17" s="497" customFormat="1">
      <c r="B233" s="497" t="str">
        <f>nmProd1Seg2</f>
        <v>Productivity &amp; Business SMC</v>
      </c>
      <c r="E233" s="499">
        <v>0.08</v>
      </c>
      <c r="F233" s="499">
        <v>0.08</v>
      </c>
      <c r="G233" s="499">
        <v>0.08</v>
      </c>
      <c r="H233" s="499">
        <v>0.08</v>
      </c>
      <c r="I233" s="499">
        <v>0.08</v>
      </c>
      <c r="J233" s="499">
        <v>0.08</v>
      </c>
      <c r="K233" s="499">
        <v>0.08</v>
      </c>
      <c r="L233" s="499">
        <v>0.08</v>
      </c>
      <c r="M233" s="499">
        <v>0.08</v>
      </c>
      <c r="N233" s="499">
        <v>0.08</v>
      </c>
      <c r="O233" s="578" t="s">
        <v>1618</v>
      </c>
      <c r="Q233" s="920">
        <v>0.08</v>
      </c>
    </row>
    <row r="234" spans="1:17" s="497" customFormat="1">
      <c r="E234" s="499"/>
      <c r="F234" s="499"/>
      <c r="G234" s="499"/>
      <c r="H234" s="499"/>
      <c r="I234" s="499"/>
      <c r="J234" s="499"/>
      <c r="K234" s="499"/>
      <c r="L234" s="499"/>
      <c r="M234" s="499"/>
      <c r="N234" s="499"/>
      <c r="Q234" s="920"/>
    </row>
    <row r="235" spans="1:17" s="497" customFormat="1">
      <c r="B235" s="497" t="str">
        <f>nmProd2Seg1</f>
        <v>Intelligent Cloud Enterprise</v>
      </c>
      <c r="E235" s="499">
        <v>0.61</v>
      </c>
      <c r="F235" s="499">
        <v>0.61</v>
      </c>
      <c r="G235" s="499">
        <v>0.61</v>
      </c>
      <c r="H235" s="499">
        <v>0.61</v>
      </c>
      <c r="I235" s="499">
        <v>0.61</v>
      </c>
      <c r="J235" s="499">
        <v>0.61</v>
      </c>
      <c r="K235" s="499">
        <v>0.61</v>
      </c>
      <c r="L235" s="499">
        <v>0.61</v>
      </c>
      <c r="M235" s="499">
        <v>0.61</v>
      </c>
      <c r="N235" s="499">
        <v>0.61</v>
      </c>
      <c r="O235" s="578" t="s">
        <v>1617</v>
      </c>
      <c r="Q235" s="920">
        <v>0.61</v>
      </c>
    </row>
    <row r="236" spans="1:17" s="497" customFormat="1">
      <c r="B236" s="497" t="str">
        <f>nmProd2Seg2</f>
        <v>Intelligent Cloud SMC</v>
      </c>
      <c r="E236" s="499">
        <v>0.12</v>
      </c>
      <c r="F236" s="499">
        <v>0.12</v>
      </c>
      <c r="G236" s="499">
        <v>0.12</v>
      </c>
      <c r="H236" s="499">
        <v>0.12</v>
      </c>
      <c r="I236" s="499">
        <v>0.12</v>
      </c>
      <c r="J236" s="499">
        <v>0.12</v>
      </c>
      <c r="K236" s="499">
        <v>0.12</v>
      </c>
      <c r="L236" s="499">
        <v>0.12</v>
      </c>
      <c r="M236" s="499">
        <v>0.12</v>
      </c>
      <c r="N236" s="499">
        <v>0.12</v>
      </c>
      <c r="O236" s="578" t="s">
        <v>1619</v>
      </c>
      <c r="Q236" s="920">
        <v>0.12</v>
      </c>
    </row>
    <row r="237" spans="1:17" s="497" customFormat="1">
      <c r="E237" s="499"/>
      <c r="F237" s="499"/>
      <c r="G237" s="499"/>
      <c r="H237" s="499"/>
      <c r="I237" s="499"/>
      <c r="J237" s="499"/>
      <c r="K237" s="499"/>
      <c r="L237" s="499"/>
      <c r="M237" s="499"/>
      <c r="N237" s="499"/>
      <c r="Q237" s="918"/>
    </row>
    <row r="238" spans="1:17" s="497" customFormat="1">
      <c r="A238" s="497" t="s">
        <v>1615</v>
      </c>
      <c r="E238" s="499"/>
      <c r="F238" s="499"/>
      <c r="G238" s="499"/>
      <c r="H238" s="499"/>
      <c r="I238" s="499"/>
      <c r="J238" s="499"/>
      <c r="K238" s="499"/>
      <c r="L238" s="499"/>
      <c r="M238" s="499"/>
      <c r="N238" s="499"/>
      <c r="Q238" s="918"/>
    </row>
    <row r="239" spans="1:17" s="497" customFormat="1">
      <c r="B239" s="497" t="str">
        <f>nmProd1Seg1</f>
        <v>Productivity &amp; Business Enterprise</v>
      </c>
      <c r="E239" s="499">
        <v>0.75</v>
      </c>
      <c r="F239" s="499">
        <v>0.75</v>
      </c>
      <c r="G239" s="499">
        <v>0.75</v>
      </c>
      <c r="H239" s="499">
        <v>0.75</v>
      </c>
      <c r="I239" s="499">
        <v>0.75</v>
      </c>
      <c r="J239" s="499">
        <v>0.75</v>
      </c>
      <c r="K239" s="499">
        <v>0.75</v>
      </c>
      <c r="L239" s="499">
        <v>0.75</v>
      </c>
      <c r="M239" s="499">
        <v>0.75</v>
      </c>
      <c r="N239" s="499">
        <v>0.75</v>
      </c>
      <c r="O239" s="578" t="s">
        <v>1620</v>
      </c>
      <c r="Q239" s="920">
        <v>0.75</v>
      </c>
    </row>
    <row r="240" spans="1:17" s="497" customFormat="1">
      <c r="B240" s="497" t="str">
        <f>nmProd1Seg2</f>
        <v>Productivity &amp; Business SMC</v>
      </c>
      <c r="E240" s="499">
        <v>0.47</v>
      </c>
      <c r="F240" s="499">
        <v>0.47</v>
      </c>
      <c r="G240" s="499">
        <v>0.47</v>
      </c>
      <c r="H240" s="499">
        <v>0.47</v>
      </c>
      <c r="I240" s="499">
        <v>0.47</v>
      </c>
      <c r="J240" s="499">
        <v>0.47</v>
      </c>
      <c r="K240" s="499">
        <v>0.47</v>
      </c>
      <c r="L240" s="499">
        <v>0.47</v>
      </c>
      <c r="M240" s="499">
        <v>0.47</v>
      </c>
      <c r="N240" s="499">
        <v>0.47</v>
      </c>
      <c r="O240" s="578" t="s">
        <v>1621</v>
      </c>
      <c r="Q240" s="920">
        <v>0.47</v>
      </c>
    </row>
    <row r="241" spans="1:17" s="497" customFormat="1">
      <c r="E241" s="499"/>
      <c r="F241" s="499"/>
      <c r="G241" s="499"/>
      <c r="H241" s="499"/>
      <c r="I241" s="499"/>
      <c r="J241" s="499"/>
      <c r="K241" s="499"/>
      <c r="L241" s="499"/>
      <c r="M241" s="499"/>
      <c r="N241" s="499"/>
      <c r="Q241" s="920"/>
    </row>
    <row r="242" spans="1:17" s="497" customFormat="1">
      <c r="B242" s="497" t="str">
        <f>nmProd2Seg1</f>
        <v>Intelligent Cloud Enterprise</v>
      </c>
      <c r="E242" s="499">
        <v>0.8</v>
      </c>
      <c r="F242" s="499">
        <v>0.8</v>
      </c>
      <c r="G242" s="499">
        <v>0.8</v>
      </c>
      <c r="H242" s="499">
        <v>0.8</v>
      </c>
      <c r="I242" s="499">
        <v>0.8</v>
      </c>
      <c r="J242" s="499">
        <v>0.8</v>
      </c>
      <c r="K242" s="499">
        <v>0.8</v>
      </c>
      <c r="L242" s="499">
        <v>0.8</v>
      </c>
      <c r="M242" s="499">
        <v>0.8</v>
      </c>
      <c r="N242" s="499">
        <v>0.8</v>
      </c>
      <c r="O242" s="578" t="s">
        <v>1622</v>
      </c>
      <c r="Q242" s="920">
        <v>0.8</v>
      </c>
    </row>
    <row r="243" spans="1:17" s="497" customFormat="1">
      <c r="B243" s="497" t="str">
        <f>nmProd2Seg2</f>
        <v>Intelligent Cloud SMC</v>
      </c>
      <c r="E243" s="499">
        <v>0.5</v>
      </c>
      <c r="F243" s="499">
        <v>0.5</v>
      </c>
      <c r="G243" s="499">
        <v>0.5</v>
      </c>
      <c r="H243" s="499">
        <v>0.5</v>
      </c>
      <c r="I243" s="499">
        <v>0.5</v>
      </c>
      <c r="J243" s="499">
        <v>0.5</v>
      </c>
      <c r="K243" s="499">
        <v>0.5</v>
      </c>
      <c r="L243" s="499">
        <v>0.5</v>
      </c>
      <c r="M243" s="499">
        <v>0.5</v>
      </c>
      <c r="N243" s="499">
        <v>0.5</v>
      </c>
      <c r="O243" s="578" t="s">
        <v>1623</v>
      </c>
      <c r="Q243" s="920">
        <v>0.5</v>
      </c>
    </row>
    <row r="244" spans="1:17" s="497" customFormat="1">
      <c r="E244" s="499"/>
      <c r="F244" s="498"/>
      <c r="G244" s="498"/>
      <c r="H244" s="498"/>
      <c r="I244" s="498"/>
      <c r="J244" s="498"/>
      <c r="K244" s="498"/>
      <c r="L244" s="498"/>
      <c r="M244" s="498"/>
      <c r="N244" s="498"/>
      <c r="Q244" s="918"/>
    </row>
    <row r="245" spans="1:17" s="497" customFormat="1">
      <c r="A245" s="497" t="s">
        <v>1686</v>
      </c>
      <c r="E245" s="499"/>
      <c r="F245" s="498"/>
      <c r="G245" s="498"/>
      <c r="H245" s="498"/>
      <c r="I245" s="498"/>
      <c r="J245" s="498"/>
      <c r="K245" s="498"/>
      <c r="L245" s="498"/>
      <c r="M245" s="498"/>
      <c r="N245" s="498"/>
      <c r="Q245" s="918"/>
    </row>
    <row r="246" spans="1:17" s="497" customFormat="1">
      <c r="B246" s="497" t="s">
        <v>117</v>
      </c>
      <c r="E246" s="627">
        <v>100.785</v>
      </c>
      <c r="F246" s="627">
        <v>100.785</v>
      </c>
      <c r="G246" s="627">
        <v>100.785</v>
      </c>
      <c r="H246" s="627">
        <v>100.785</v>
      </c>
      <c r="I246" s="627">
        <v>100.785</v>
      </c>
      <c r="J246" s="627">
        <v>100.785</v>
      </c>
      <c r="K246" s="627">
        <v>100.785</v>
      </c>
      <c r="L246" s="627">
        <v>100.785</v>
      </c>
      <c r="M246" s="627">
        <v>100.785</v>
      </c>
      <c r="N246" s="627">
        <v>100.785</v>
      </c>
      <c r="O246" s="578" t="s">
        <v>1700</v>
      </c>
      <c r="Q246" s="918">
        <v>100</v>
      </c>
    </row>
    <row r="247" spans="1:17" s="497" customFormat="1">
      <c r="B247" s="497" t="s">
        <v>1698</v>
      </c>
      <c r="E247" s="627">
        <v>97.41</v>
      </c>
      <c r="F247" s="627">
        <v>97.41</v>
      </c>
      <c r="G247" s="627">
        <v>97.41</v>
      </c>
      <c r="H247" s="627">
        <v>97.41</v>
      </c>
      <c r="I247" s="627">
        <v>97.41</v>
      </c>
      <c r="J247" s="627">
        <v>97.41</v>
      </c>
      <c r="K247" s="627">
        <v>97.41</v>
      </c>
      <c r="L247" s="627">
        <v>97.41</v>
      </c>
      <c r="M247" s="627">
        <v>97.41</v>
      </c>
      <c r="N247" s="627">
        <v>97.41</v>
      </c>
      <c r="O247" s="578" t="s">
        <v>1701</v>
      </c>
      <c r="Q247" s="918">
        <v>100</v>
      </c>
    </row>
    <row r="248" spans="1:17" s="497" customFormat="1">
      <c r="B248" s="497" t="s">
        <v>974</v>
      </c>
      <c r="E248" s="627">
        <v>98.534999999999997</v>
      </c>
      <c r="F248" s="627">
        <v>98.534999999999997</v>
      </c>
      <c r="G248" s="627">
        <v>98.534999999999997</v>
      </c>
      <c r="H248" s="627">
        <v>98.534999999999997</v>
      </c>
      <c r="I248" s="627">
        <v>98.534999999999997</v>
      </c>
      <c r="J248" s="627">
        <v>98.534999999999997</v>
      </c>
      <c r="K248" s="627">
        <v>98.534999999999997</v>
      </c>
      <c r="L248" s="627">
        <v>98.534999999999997</v>
      </c>
      <c r="M248" s="627">
        <v>98.534999999999997</v>
      </c>
      <c r="N248" s="627">
        <v>98.534999999999997</v>
      </c>
      <c r="O248" s="578" t="s">
        <v>1702</v>
      </c>
      <c r="Q248" s="918">
        <v>100</v>
      </c>
    </row>
    <row r="249" spans="1:17" s="497" customFormat="1">
      <c r="B249" s="497" t="s">
        <v>1699</v>
      </c>
      <c r="E249" s="627">
        <v>99.66</v>
      </c>
      <c r="F249" s="627">
        <v>99.66</v>
      </c>
      <c r="G249" s="627">
        <v>99.66</v>
      </c>
      <c r="H249" s="627">
        <v>99.66</v>
      </c>
      <c r="I249" s="627">
        <v>99.66</v>
      </c>
      <c r="J249" s="627">
        <v>99.66</v>
      </c>
      <c r="K249" s="627">
        <v>99.66</v>
      </c>
      <c r="L249" s="627">
        <v>99.66</v>
      </c>
      <c r="M249" s="627">
        <v>99.66</v>
      </c>
      <c r="N249" s="627">
        <v>99.66</v>
      </c>
      <c r="O249" s="578" t="s">
        <v>1703</v>
      </c>
      <c r="Q249" s="918">
        <v>100</v>
      </c>
    </row>
    <row r="250" spans="1:17" s="497" customFormat="1">
      <c r="B250" s="578" t="s">
        <v>1686</v>
      </c>
      <c r="E250" s="627">
        <v>99.097499999999997</v>
      </c>
      <c r="F250" s="627">
        <v>99.097499999999997</v>
      </c>
      <c r="G250" s="627">
        <v>99.097499999999997</v>
      </c>
      <c r="H250" s="627">
        <v>99.097499999999997</v>
      </c>
      <c r="I250" s="627">
        <v>99.097499999999997</v>
      </c>
      <c r="J250" s="627">
        <v>99.097499999999997</v>
      </c>
      <c r="K250" s="627">
        <v>99.097499999999997</v>
      </c>
      <c r="L250" s="627">
        <v>99.097499999999997</v>
      </c>
      <c r="M250" s="627">
        <v>99.097499999999997</v>
      </c>
      <c r="N250" s="627">
        <v>99.097499999999997</v>
      </c>
      <c r="O250" s="578" t="s">
        <v>1704</v>
      </c>
      <c r="Q250" s="918">
        <v>100</v>
      </c>
    </row>
    <row r="251" spans="1:17" s="497" customFormat="1">
      <c r="E251" s="499"/>
      <c r="F251" s="498"/>
      <c r="G251" s="498"/>
      <c r="H251" s="498"/>
      <c r="I251" s="498"/>
      <c r="J251" s="498"/>
      <c r="K251" s="498"/>
      <c r="L251" s="498"/>
      <c r="M251" s="498"/>
      <c r="N251" s="498"/>
      <c r="Q251" s="918"/>
    </row>
    <row r="252" spans="1:17" s="497" customFormat="1">
      <c r="A252" s="497" t="s">
        <v>1810</v>
      </c>
      <c r="E252" s="499"/>
      <c r="F252" s="498"/>
      <c r="G252" s="498"/>
      <c r="H252" s="498"/>
      <c r="I252" s="498"/>
      <c r="J252" s="498"/>
      <c r="K252" s="498"/>
      <c r="L252" s="498"/>
      <c r="M252" s="498"/>
      <c r="N252" s="498"/>
      <c r="Q252" s="918"/>
    </row>
    <row r="253" spans="1:17" s="497" customFormat="1">
      <c r="B253" s="497" t="str">
        <f>nmProd1</f>
        <v>Productivity &amp; Business</v>
      </c>
      <c r="E253" s="577">
        <v>689233081.77296603</v>
      </c>
      <c r="F253" s="577">
        <v>689233081.77296603</v>
      </c>
      <c r="G253" s="577">
        <v>689233081.77296603</v>
      </c>
      <c r="H253" s="577">
        <v>689233081.77296603</v>
      </c>
      <c r="I253" s="577">
        <v>689233081.77296603</v>
      </c>
      <c r="J253" s="577">
        <v>689233081.77296603</v>
      </c>
      <c r="K253" s="577">
        <v>689233081.77296603</v>
      </c>
      <c r="L253" s="577">
        <v>689233081.77296603</v>
      </c>
      <c r="M253" s="577">
        <v>689233081.77296603</v>
      </c>
      <c r="N253" s="577">
        <v>689233081.77296603</v>
      </c>
      <c r="O253" s="578" t="s">
        <v>2092</v>
      </c>
      <c r="Q253" s="919">
        <v>532627397.55340964</v>
      </c>
    </row>
    <row r="254" spans="1:17" s="497" customFormat="1">
      <c r="B254" s="497" t="str">
        <f>nmProd2</f>
        <v>Intelligent Cloud</v>
      </c>
      <c r="E254" s="577">
        <v>538183632.51229572</v>
      </c>
      <c r="F254" s="577">
        <v>538183632.51229572</v>
      </c>
      <c r="G254" s="577">
        <v>538183632.51229572</v>
      </c>
      <c r="H254" s="577">
        <v>538183632.51229572</v>
      </c>
      <c r="I254" s="577">
        <v>538183632.51229572</v>
      </c>
      <c r="J254" s="577">
        <v>538183632.51229572</v>
      </c>
      <c r="K254" s="577">
        <v>538183632.51229572</v>
      </c>
      <c r="L254" s="577">
        <v>538183632.51229572</v>
      </c>
      <c r="M254" s="577">
        <v>538183632.51229572</v>
      </c>
      <c r="N254" s="577">
        <v>538183632.51229572</v>
      </c>
      <c r="O254" s="578" t="s">
        <v>2093</v>
      </c>
      <c r="Q254" s="919">
        <v>508839930.21854174</v>
      </c>
    </row>
    <row r="255" spans="1:17" s="497" customFormat="1">
      <c r="B255" s="497" t="str">
        <f>nmProd3</f>
        <v>Personal Computing</v>
      </c>
      <c r="E255" s="577">
        <v>130292143.01409708</v>
      </c>
      <c r="F255" s="577">
        <v>130292143.01409708</v>
      </c>
      <c r="G255" s="577">
        <v>130292143.01409708</v>
      </c>
      <c r="H255" s="577">
        <v>130292143.01409708</v>
      </c>
      <c r="I255" s="577">
        <v>130292143.01409708</v>
      </c>
      <c r="J255" s="577">
        <v>130292143.01409708</v>
      </c>
      <c r="K255" s="577">
        <v>130292143.01409708</v>
      </c>
      <c r="L255" s="577">
        <v>130292143.01409708</v>
      </c>
      <c r="M255" s="577">
        <v>130292143.01409708</v>
      </c>
      <c r="N255" s="577">
        <v>130292143.01409708</v>
      </c>
      <c r="O255" s="578" t="s">
        <v>2094</v>
      </c>
      <c r="Q255" s="919">
        <v>124302555.96287632</v>
      </c>
    </row>
    <row r="256" spans="1:17" s="497" customFormat="1">
      <c r="B256" s="497" t="s">
        <v>50</v>
      </c>
      <c r="E256" s="577">
        <v>1357708857.2993586</v>
      </c>
      <c r="F256" s="577">
        <v>1357708857.2993586</v>
      </c>
      <c r="G256" s="577">
        <v>1357708857.2993586</v>
      </c>
      <c r="H256" s="577">
        <v>1357708857.2993586</v>
      </c>
      <c r="I256" s="577">
        <v>1357708857.2993586</v>
      </c>
      <c r="J256" s="577">
        <v>1357708857.2993586</v>
      </c>
      <c r="K256" s="577">
        <v>1357708857.2993586</v>
      </c>
      <c r="L256" s="577">
        <v>1357708857.2993586</v>
      </c>
      <c r="M256" s="577">
        <v>1357708857.2993586</v>
      </c>
      <c r="N256" s="577">
        <v>1357708857.2993586</v>
      </c>
      <c r="O256" s="578" t="s">
        <v>2095</v>
      </c>
      <c r="Q256" s="919">
        <v>1165769883.7348278</v>
      </c>
    </row>
    <row r="257" spans="1:17" s="497" customFormat="1">
      <c r="E257" s="499"/>
      <c r="F257" s="498"/>
      <c r="G257" s="498"/>
      <c r="H257" s="498"/>
      <c r="I257" s="498"/>
      <c r="J257" s="498"/>
      <c r="K257" s="498"/>
      <c r="L257" s="498"/>
      <c r="M257" s="498"/>
      <c r="N257" s="498"/>
      <c r="Q257" s="918"/>
    </row>
    <row r="258" spans="1:17" s="497" customFormat="1">
      <c r="A258" s="497" t="s">
        <v>1315</v>
      </c>
      <c r="E258" s="499"/>
      <c r="F258" s="498"/>
      <c r="G258" s="498"/>
      <c r="H258" s="498"/>
      <c r="I258" s="498"/>
      <c r="J258" s="498"/>
      <c r="K258" s="498"/>
      <c r="L258" s="498"/>
      <c r="M258" s="498"/>
      <c r="N258" s="498"/>
      <c r="Q258" s="918"/>
    </row>
    <row r="259" spans="1:17" s="497" customFormat="1">
      <c r="B259" s="497" t="s">
        <v>394</v>
      </c>
      <c r="E259" s="627">
        <v>80</v>
      </c>
      <c r="F259" s="627">
        <v>80</v>
      </c>
      <c r="G259" s="627">
        <v>80</v>
      </c>
      <c r="H259" s="627">
        <v>80</v>
      </c>
      <c r="I259" s="627">
        <v>80</v>
      </c>
      <c r="J259" s="627">
        <v>80</v>
      </c>
      <c r="K259" s="627">
        <v>80</v>
      </c>
      <c r="L259" s="627">
        <v>80</v>
      </c>
      <c r="M259" s="627">
        <v>80</v>
      </c>
      <c r="N259" s="627">
        <v>80</v>
      </c>
      <c r="O259" s="578" t="s">
        <v>1317</v>
      </c>
      <c r="Q259" s="918">
        <v>80</v>
      </c>
    </row>
    <row r="260" spans="1:17" s="497" customFormat="1">
      <c r="B260" s="497" t="s">
        <v>393</v>
      </c>
      <c r="E260" s="627">
        <v>80</v>
      </c>
      <c r="F260" s="627">
        <v>80</v>
      </c>
      <c r="G260" s="627">
        <v>80</v>
      </c>
      <c r="H260" s="627">
        <v>80</v>
      </c>
      <c r="I260" s="627">
        <v>80</v>
      </c>
      <c r="J260" s="627">
        <v>80</v>
      </c>
      <c r="K260" s="627">
        <v>80</v>
      </c>
      <c r="L260" s="627">
        <v>80</v>
      </c>
      <c r="M260" s="627">
        <v>80</v>
      </c>
      <c r="N260" s="627">
        <v>80</v>
      </c>
      <c r="O260" s="578" t="s">
        <v>1316</v>
      </c>
      <c r="Q260" s="918">
        <v>80</v>
      </c>
    </row>
    <row r="261" spans="1:17">
      <c r="B261" s="29" t="s">
        <v>458</v>
      </c>
      <c r="E261" s="19">
        <v>50</v>
      </c>
      <c r="F261" s="19">
        <v>50</v>
      </c>
      <c r="G261" s="19">
        <v>50</v>
      </c>
      <c r="H261" s="19">
        <v>50</v>
      </c>
      <c r="I261" s="19">
        <v>50</v>
      </c>
      <c r="J261" s="19">
        <v>50</v>
      </c>
      <c r="K261" s="19">
        <v>50</v>
      </c>
      <c r="L261" s="19">
        <v>50</v>
      </c>
      <c r="M261" s="19">
        <v>50</v>
      </c>
      <c r="N261" s="19">
        <v>50</v>
      </c>
      <c r="O261" t="s">
        <v>1749</v>
      </c>
      <c r="Q261" s="914">
        <v>50</v>
      </c>
    </row>
    <row r="262" spans="1:17">
      <c r="B262" s="29" t="s">
        <v>1646</v>
      </c>
      <c r="E262" s="19">
        <v>100</v>
      </c>
      <c r="F262" s="19">
        <v>100</v>
      </c>
      <c r="G262" s="19">
        <v>100</v>
      </c>
      <c r="H262" s="19">
        <v>100</v>
      </c>
      <c r="I262" s="19">
        <v>100</v>
      </c>
      <c r="J262" s="19">
        <v>100</v>
      </c>
      <c r="K262" s="19">
        <v>100</v>
      </c>
      <c r="L262" s="19">
        <v>100</v>
      </c>
      <c r="M262" s="19">
        <v>100</v>
      </c>
      <c r="N262" s="19">
        <v>100</v>
      </c>
      <c r="O262" t="s">
        <v>1751</v>
      </c>
      <c r="Q262" s="914">
        <v>100</v>
      </c>
    </row>
    <row r="263" spans="1:17">
      <c r="B263" s="29" t="s">
        <v>117</v>
      </c>
      <c r="E263" s="496">
        <v>953642881.23671341</v>
      </c>
      <c r="F263" s="496">
        <v>953642881.23671341</v>
      </c>
      <c r="G263" s="496">
        <v>953642881.23671341</v>
      </c>
      <c r="H263" s="496">
        <v>953642881.23671341</v>
      </c>
      <c r="I263" s="496">
        <v>953642881.23671341</v>
      </c>
      <c r="J263" s="496">
        <v>953642881.23671341</v>
      </c>
      <c r="K263" s="496">
        <v>953642881.23671341</v>
      </c>
      <c r="L263" s="496">
        <v>953642881.23671341</v>
      </c>
      <c r="M263" s="496">
        <v>953642881.23671341</v>
      </c>
      <c r="N263" s="496">
        <v>953642881.23671341</v>
      </c>
      <c r="O263" t="s">
        <v>2097</v>
      </c>
      <c r="Q263" s="917">
        <v>851965908.33826232</v>
      </c>
    </row>
    <row r="264" spans="1:17">
      <c r="B264" s="29" t="s">
        <v>392</v>
      </c>
      <c r="E264" s="476">
        <v>0.11934394545994149</v>
      </c>
      <c r="F264" s="476">
        <v>0.11934394545994149</v>
      </c>
      <c r="G264" s="476">
        <v>0.11934394545994149</v>
      </c>
      <c r="H264" s="476">
        <v>0.11934394545994149</v>
      </c>
      <c r="I264" s="476">
        <v>0.11934394545994149</v>
      </c>
      <c r="J264" s="476">
        <v>0.11934394545994149</v>
      </c>
      <c r="K264" s="476">
        <v>0.11934394545994149</v>
      </c>
      <c r="L264" s="476">
        <v>0.11934394545994149</v>
      </c>
      <c r="M264" s="476">
        <v>0.11934394545994149</v>
      </c>
      <c r="N264" s="476">
        <v>0.11934394545994149</v>
      </c>
      <c r="O264" t="s">
        <v>2098</v>
      </c>
      <c r="Q264" s="916">
        <v>0.1</v>
      </c>
    </row>
    <row r="265" spans="1:17">
      <c r="B265" s="29" t="s">
        <v>2688</v>
      </c>
      <c r="E265" s="477">
        <v>0</v>
      </c>
      <c r="F265" s="477">
        <v>0</v>
      </c>
      <c r="G265" s="477">
        <v>0</v>
      </c>
      <c r="H265" s="477">
        <v>0</v>
      </c>
      <c r="I265" s="477">
        <v>0</v>
      </c>
      <c r="J265" s="477">
        <v>0</v>
      </c>
      <c r="K265" s="477">
        <v>0</v>
      </c>
      <c r="L265" s="477">
        <v>0</v>
      </c>
      <c r="M265" s="477">
        <v>0</v>
      </c>
      <c r="N265" s="477">
        <v>0</v>
      </c>
      <c r="O265" t="s">
        <v>2689</v>
      </c>
      <c r="Q265" s="923">
        <v>0</v>
      </c>
    </row>
    <row r="266" spans="1:17" s="497" customFormat="1">
      <c r="E266" s="499"/>
      <c r="F266" s="498"/>
      <c r="G266" s="498"/>
      <c r="H266" s="498"/>
      <c r="I266" s="498"/>
      <c r="J266" s="498"/>
      <c r="K266" s="498"/>
      <c r="L266" s="498"/>
      <c r="M266" s="498"/>
      <c r="N266" s="498"/>
      <c r="Q266" s="918"/>
    </row>
    <row r="267" spans="1:17" s="497" customFormat="1">
      <c r="A267" s="497" t="s">
        <v>986</v>
      </c>
      <c r="E267" s="499"/>
      <c r="F267" s="498"/>
      <c r="G267" s="498"/>
      <c r="H267" s="498"/>
      <c r="I267" s="498"/>
      <c r="J267" s="498"/>
      <c r="K267" s="498"/>
      <c r="L267" s="498"/>
      <c r="M267" s="498"/>
      <c r="N267" s="498"/>
      <c r="Q267" s="918"/>
    </row>
    <row r="268" spans="1:17" s="497" customFormat="1">
      <c r="B268" s="578" t="s">
        <v>2367</v>
      </c>
      <c r="E268" s="499">
        <v>0</v>
      </c>
      <c r="F268" s="498">
        <v>0</v>
      </c>
      <c r="G268" s="498">
        <v>0</v>
      </c>
      <c r="H268" s="498">
        <v>0</v>
      </c>
      <c r="I268" s="498">
        <v>0</v>
      </c>
      <c r="J268" s="498">
        <v>0</v>
      </c>
      <c r="K268" s="498">
        <v>0</v>
      </c>
      <c r="L268" s="498">
        <v>0</v>
      </c>
      <c r="M268" s="498">
        <v>0</v>
      </c>
      <c r="N268" s="498">
        <v>0</v>
      </c>
      <c r="O268" s="578" t="s">
        <v>2366</v>
      </c>
      <c r="Q268" s="918"/>
    </row>
    <row r="269" spans="1:17" s="497" customFormat="1">
      <c r="B269" s="578" t="s">
        <v>2369</v>
      </c>
      <c r="E269" s="499">
        <v>0</v>
      </c>
      <c r="F269" s="498">
        <v>0</v>
      </c>
      <c r="G269" s="498">
        <v>0</v>
      </c>
      <c r="H269" s="498">
        <v>0</v>
      </c>
      <c r="I269" s="498">
        <v>0</v>
      </c>
      <c r="J269" s="498">
        <v>0</v>
      </c>
      <c r="K269" s="498">
        <v>0</v>
      </c>
      <c r="L269" s="498">
        <v>0</v>
      </c>
      <c r="M269" s="498">
        <v>0</v>
      </c>
      <c r="N269" s="498">
        <v>0</v>
      </c>
      <c r="O269" s="578" t="s">
        <v>2368</v>
      </c>
      <c r="Q269" s="918"/>
    </row>
    <row r="270" spans="1:17" s="497" customFormat="1">
      <c r="B270" s="578" t="s">
        <v>2375</v>
      </c>
      <c r="E270" s="499">
        <v>0</v>
      </c>
      <c r="F270" s="498">
        <v>0</v>
      </c>
      <c r="G270" s="498">
        <v>0</v>
      </c>
      <c r="H270" s="498">
        <v>0</v>
      </c>
      <c r="I270" s="498">
        <v>0</v>
      </c>
      <c r="J270" s="498">
        <v>0</v>
      </c>
      <c r="K270" s="498">
        <v>0</v>
      </c>
      <c r="L270" s="498">
        <v>0</v>
      </c>
      <c r="M270" s="498">
        <v>0</v>
      </c>
      <c r="N270" s="498">
        <v>0</v>
      </c>
      <c r="O270" s="578" t="s">
        <v>2370</v>
      </c>
      <c r="Q270" s="918"/>
    </row>
    <row r="271" spans="1:17" s="497" customFormat="1">
      <c r="B271" s="578" t="s">
        <v>2376</v>
      </c>
      <c r="E271" s="499">
        <v>0</v>
      </c>
      <c r="F271" s="498">
        <v>0</v>
      </c>
      <c r="G271" s="498">
        <v>0</v>
      </c>
      <c r="H271" s="498">
        <v>0</v>
      </c>
      <c r="I271" s="498">
        <v>0</v>
      </c>
      <c r="J271" s="498">
        <v>0</v>
      </c>
      <c r="K271" s="498">
        <v>0</v>
      </c>
      <c r="L271" s="498">
        <v>0</v>
      </c>
      <c r="M271" s="498">
        <v>0</v>
      </c>
      <c r="N271" s="498">
        <v>0</v>
      </c>
      <c r="O271" s="578" t="s">
        <v>2371</v>
      </c>
      <c r="Q271" s="918"/>
    </row>
    <row r="272" spans="1:17" s="497" customFormat="1">
      <c r="B272" s="578" t="s">
        <v>2377</v>
      </c>
      <c r="E272" s="499">
        <v>0</v>
      </c>
      <c r="F272" s="498">
        <v>0</v>
      </c>
      <c r="G272" s="498">
        <v>0</v>
      </c>
      <c r="H272" s="498">
        <v>0</v>
      </c>
      <c r="I272" s="498">
        <v>0</v>
      </c>
      <c r="J272" s="498">
        <v>0</v>
      </c>
      <c r="K272" s="498">
        <v>0</v>
      </c>
      <c r="L272" s="498">
        <v>0</v>
      </c>
      <c r="M272" s="498">
        <v>0</v>
      </c>
      <c r="N272" s="498">
        <v>0</v>
      </c>
      <c r="O272" s="578" t="s">
        <v>2372</v>
      </c>
      <c r="Q272" s="918"/>
    </row>
    <row r="273" spans="2:17" s="497" customFormat="1">
      <c r="B273" s="578" t="s">
        <v>2378</v>
      </c>
      <c r="E273" s="499">
        <v>0</v>
      </c>
      <c r="F273" s="498">
        <v>0</v>
      </c>
      <c r="G273" s="498">
        <v>0</v>
      </c>
      <c r="H273" s="498">
        <v>0</v>
      </c>
      <c r="I273" s="498">
        <v>0</v>
      </c>
      <c r="J273" s="498">
        <v>0</v>
      </c>
      <c r="K273" s="498">
        <v>0</v>
      </c>
      <c r="L273" s="498">
        <v>0</v>
      </c>
      <c r="M273" s="498">
        <v>0</v>
      </c>
      <c r="N273" s="498">
        <v>0</v>
      </c>
      <c r="O273" s="578" t="s">
        <v>2373</v>
      </c>
      <c r="Q273" s="918"/>
    </row>
    <row r="274" spans="2:17" s="497" customFormat="1">
      <c r="B274" s="578" t="s">
        <v>2379</v>
      </c>
      <c r="E274" s="499">
        <v>0</v>
      </c>
      <c r="F274" s="498">
        <v>0</v>
      </c>
      <c r="G274" s="498">
        <v>0</v>
      </c>
      <c r="H274" s="498">
        <v>0</v>
      </c>
      <c r="I274" s="498">
        <v>0</v>
      </c>
      <c r="J274" s="498">
        <v>0</v>
      </c>
      <c r="K274" s="498">
        <v>0</v>
      </c>
      <c r="L274" s="498">
        <v>0</v>
      </c>
      <c r="M274" s="498">
        <v>0</v>
      </c>
      <c r="N274" s="498">
        <v>0</v>
      </c>
      <c r="O274" s="578" t="s">
        <v>2374</v>
      </c>
      <c r="Q274" s="918"/>
    </row>
    <row r="275" spans="2:17" s="497" customFormat="1">
      <c r="B275" s="578" t="s">
        <v>2926</v>
      </c>
      <c r="E275" s="499">
        <v>0</v>
      </c>
      <c r="F275" s="498">
        <v>0</v>
      </c>
      <c r="G275" s="498">
        <v>0</v>
      </c>
      <c r="H275" s="498">
        <v>0</v>
      </c>
      <c r="I275" s="498">
        <v>0</v>
      </c>
      <c r="J275" s="498">
        <v>0</v>
      </c>
      <c r="K275" s="498">
        <v>0</v>
      </c>
      <c r="L275" s="498">
        <v>0</v>
      </c>
      <c r="M275" s="498">
        <v>0</v>
      </c>
      <c r="N275" s="498">
        <v>0</v>
      </c>
      <c r="O275" s="578" t="s">
        <v>2925</v>
      </c>
      <c r="Q275" s="918"/>
    </row>
    <row r="276" spans="2:17" s="497" customFormat="1">
      <c r="B276" s="578" t="s">
        <v>2367</v>
      </c>
      <c r="E276" s="499">
        <v>0</v>
      </c>
      <c r="F276" s="498">
        <v>0</v>
      </c>
      <c r="G276" s="498">
        <v>0</v>
      </c>
      <c r="H276" s="498">
        <v>0</v>
      </c>
      <c r="I276" s="498">
        <v>0</v>
      </c>
      <c r="J276" s="498">
        <v>0</v>
      </c>
      <c r="K276" s="498">
        <v>0</v>
      </c>
      <c r="L276" s="498">
        <v>0</v>
      </c>
      <c r="M276" s="498">
        <v>0</v>
      </c>
      <c r="N276" s="498">
        <v>0</v>
      </c>
      <c r="O276" s="578" t="s">
        <v>2386</v>
      </c>
      <c r="Q276" s="918"/>
    </row>
    <row r="277" spans="2:17" s="497" customFormat="1">
      <c r="B277" s="578" t="s">
        <v>2369</v>
      </c>
      <c r="E277" s="499">
        <v>0</v>
      </c>
      <c r="F277" s="498">
        <v>0</v>
      </c>
      <c r="G277" s="498">
        <v>0</v>
      </c>
      <c r="H277" s="498">
        <v>0</v>
      </c>
      <c r="I277" s="498">
        <v>0</v>
      </c>
      <c r="J277" s="498">
        <v>0</v>
      </c>
      <c r="K277" s="498">
        <v>0</v>
      </c>
      <c r="L277" s="498">
        <v>0</v>
      </c>
      <c r="M277" s="498">
        <v>0</v>
      </c>
      <c r="N277" s="498">
        <v>0</v>
      </c>
      <c r="O277" s="578" t="s">
        <v>2380</v>
      </c>
      <c r="Q277" s="918"/>
    </row>
    <row r="278" spans="2:17" s="497" customFormat="1">
      <c r="B278" s="578" t="s">
        <v>2375</v>
      </c>
      <c r="E278" s="499">
        <v>0</v>
      </c>
      <c r="F278" s="498">
        <v>0</v>
      </c>
      <c r="G278" s="498">
        <v>0</v>
      </c>
      <c r="H278" s="498">
        <v>0</v>
      </c>
      <c r="I278" s="498">
        <v>0</v>
      </c>
      <c r="J278" s="498">
        <v>0</v>
      </c>
      <c r="K278" s="498">
        <v>0</v>
      </c>
      <c r="L278" s="498">
        <v>0</v>
      </c>
      <c r="M278" s="498">
        <v>0</v>
      </c>
      <c r="N278" s="498">
        <v>0</v>
      </c>
      <c r="O278" s="578" t="s">
        <v>2381</v>
      </c>
      <c r="Q278" s="918"/>
    </row>
    <row r="279" spans="2:17" s="497" customFormat="1">
      <c r="B279" s="578" t="s">
        <v>2376</v>
      </c>
      <c r="E279" s="499">
        <v>0</v>
      </c>
      <c r="F279" s="498">
        <v>0</v>
      </c>
      <c r="G279" s="498">
        <v>0</v>
      </c>
      <c r="H279" s="498">
        <v>0</v>
      </c>
      <c r="I279" s="498">
        <v>0</v>
      </c>
      <c r="J279" s="498">
        <v>0</v>
      </c>
      <c r="K279" s="498">
        <v>0</v>
      </c>
      <c r="L279" s="498">
        <v>0</v>
      </c>
      <c r="M279" s="498">
        <v>0</v>
      </c>
      <c r="N279" s="498">
        <v>0</v>
      </c>
      <c r="O279" s="578" t="s">
        <v>2382</v>
      </c>
      <c r="Q279" s="918"/>
    </row>
    <row r="280" spans="2:17" s="497" customFormat="1">
      <c r="B280" s="578" t="s">
        <v>2377</v>
      </c>
      <c r="E280" s="499">
        <v>0</v>
      </c>
      <c r="F280" s="498">
        <v>0</v>
      </c>
      <c r="G280" s="498">
        <v>0</v>
      </c>
      <c r="H280" s="498">
        <v>0</v>
      </c>
      <c r="I280" s="498">
        <v>0</v>
      </c>
      <c r="J280" s="498">
        <v>0</v>
      </c>
      <c r="K280" s="498">
        <v>0</v>
      </c>
      <c r="L280" s="498">
        <v>0</v>
      </c>
      <c r="M280" s="498">
        <v>0</v>
      </c>
      <c r="N280" s="498">
        <v>0</v>
      </c>
      <c r="O280" s="578" t="s">
        <v>2383</v>
      </c>
      <c r="Q280" s="918"/>
    </row>
    <row r="281" spans="2:17" s="497" customFormat="1">
      <c r="B281" s="578" t="s">
        <v>2378</v>
      </c>
      <c r="E281" s="499">
        <v>0</v>
      </c>
      <c r="F281" s="498">
        <v>0</v>
      </c>
      <c r="G281" s="498">
        <v>0</v>
      </c>
      <c r="H281" s="498">
        <v>0</v>
      </c>
      <c r="I281" s="498">
        <v>0</v>
      </c>
      <c r="J281" s="498">
        <v>0</v>
      </c>
      <c r="K281" s="498">
        <v>0</v>
      </c>
      <c r="L281" s="498">
        <v>0</v>
      </c>
      <c r="M281" s="498">
        <v>0</v>
      </c>
      <c r="N281" s="498">
        <v>0</v>
      </c>
      <c r="O281" s="578" t="s">
        <v>2384</v>
      </c>
      <c r="Q281" s="918"/>
    </row>
    <row r="282" spans="2:17" s="497" customFormat="1">
      <c r="B282" s="578" t="s">
        <v>2379</v>
      </c>
      <c r="E282" s="499">
        <v>0</v>
      </c>
      <c r="F282" s="498">
        <v>0</v>
      </c>
      <c r="G282" s="498">
        <v>0</v>
      </c>
      <c r="H282" s="498">
        <v>0</v>
      </c>
      <c r="I282" s="498">
        <v>0</v>
      </c>
      <c r="J282" s="498">
        <v>0</v>
      </c>
      <c r="K282" s="498">
        <v>0</v>
      </c>
      <c r="L282" s="498">
        <v>0</v>
      </c>
      <c r="M282" s="498">
        <v>0</v>
      </c>
      <c r="N282" s="498">
        <v>0</v>
      </c>
      <c r="O282" s="578" t="s">
        <v>2385</v>
      </c>
      <c r="Q282" s="918"/>
    </row>
    <row r="283" spans="2:17" s="497" customFormat="1">
      <c r="B283" s="578" t="s">
        <v>2367</v>
      </c>
      <c r="E283" s="499">
        <v>0</v>
      </c>
      <c r="F283" s="498">
        <v>0</v>
      </c>
      <c r="G283" s="498">
        <v>0</v>
      </c>
      <c r="H283" s="498">
        <v>0</v>
      </c>
      <c r="I283" s="498">
        <v>0</v>
      </c>
      <c r="J283" s="498">
        <v>0</v>
      </c>
      <c r="K283" s="498">
        <v>0</v>
      </c>
      <c r="L283" s="498">
        <v>0</v>
      </c>
      <c r="M283" s="498">
        <v>0</v>
      </c>
      <c r="N283" s="498">
        <v>0</v>
      </c>
      <c r="O283" s="578" t="s">
        <v>2387</v>
      </c>
      <c r="Q283" s="918"/>
    </row>
    <row r="284" spans="2:17" s="497" customFormat="1">
      <c r="B284" s="578" t="s">
        <v>2369</v>
      </c>
      <c r="E284" s="499">
        <v>0</v>
      </c>
      <c r="F284" s="498">
        <v>0</v>
      </c>
      <c r="G284" s="498">
        <v>0</v>
      </c>
      <c r="H284" s="498">
        <v>0</v>
      </c>
      <c r="I284" s="498">
        <v>0</v>
      </c>
      <c r="J284" s="498">
        <v>0</v>
      </c>
      <c r="K284" s="498">
        <v>0</v>
      </c>
      <c r="L284" s="498">
        <v>0</v>
      </c>
      <c r="M284" s="498">
        <v>0</v>
      </c>
      <c r="N284" s="498">
        <v>0</v>
      </c>
      <c r="O284" s="578" t="s">
        <v>2393</v>
      </c>
      <c r="Q284" s="918"/>
    </row>
    <row r="285" spans="2:17" s="497" customFormat="1">
      <c r="B285" s="578" t="s">
        <v>2375</v>
      </c>
      <c r="E285" s="499">
        <v>0</v>
      </c>
      <c r="F285" s="498">
        <v>0</v>
      </c>
      <c r="G285" s="498">
        <v>0</v>
      </c>
      <c r="H285" s="498">
        <v>0</v>
      </c>
      <c r="I285" s="498">
        <v>0</v>
      </c>
      <c r="J285" s="498">
        <v>0</v>
      </c>
      <c r="K285" s="498">
        <v>0</v>
      </c>
      <c r="L285" s="498">
        <v>0</v>
      </c>
      <c r="M285" s="498">
        <v>0</v>
      </c>
      <c r="N285" s="498">
        <v>0</v>
      </c>
      <c r="O285" s="578" t="s">
        <v>2388</v>
      </c>
      <c r="Q285" s="918"/>
    </row>
    <row r="286" spans="2:17" s="497" customFormat="1">
      <c r="B286" s="578" t="s">
        <v>2376</v>
      </c>
      <c r="E286" s="499">
        <v>0</v>
      </c>
      <c r="F286" s="498">
        <v>0</v>
      </c>
      <c r="G286" s="498">
        <v>0</v>
      </c>
      <c r="H286" s="498">
        <v>0</v>
      </c>
      <c r="I286" s="498">
        <v>0</v>
      </c>
      <c r="J286" s="498">
        <v>0</v>
      </c>
      <c r="K286" s="498">
        <v>0</v>
      </c>
      <c r="L286" s="498">
        <v>0</v>
      </c>
      <c r="M286" s="498">
        <v>0</v>
      </c>
      <c r="N286" s="498">
        <v>0</v>
      </c>
      <c r="O286" s="578" t="s">
        <v>2389</v>
      </c>
      <c r="Q286" s="918"/>
    </row>
    <row r="287" spans="2:17" s="497" customFormat="1">
      <c r="B287" s="578" t="s">
        <v>2377</v>
      </c>
      <c r="E287" s="499">
        <v>0</v>
      </c>
      <c r="F287" s="498">
        <v>0</v>
      </c>
      <c r="G287" s="498">
        <v>0</v>
      </c>
      <c r="H287" s="498">
        <v>0</v>
      </c>
      <c r="I287" s="498">
        <v>0</v>
      </c>
      <c r="J287" s="498">
        <v>0</v>
      </c>
      <c r="K287" s="498">
        <v>0</v>
      </c>
      <c r="L287" s="498">
        <v>0</v>
      </c>
      <c r="M287" s="498">
        <v>0</v>
      </c>
      <c r="N287" s="498">
        <v>0</v>
      </c>
      <c r="O287" s="578" t="s">
        <v>2390</v>
      </c>
      <c r="Q287" s="918"/>
    </row>
    <row r="288" spans="2:17" s="497" customFormat="1">
      <c r="B288" s="578" t="s">
        <v>2378</v>
      </c>
      <c r="E288" s="499">
        <v>0</v>
      </c>
      <c r="F288" s="498">
        <v>0</v>
      </c>
      <c r="G288" s="498">
        <v>0</v>
      </c>
      <c r="H288" s="498">
        <v>0</v>
      </c>
      <c r="I288" s="498">
        <v>0</v>
      </c>
      <c r="J288" s="498">
        <v>0</v>
      </c>
      <c r="K288" s="498">
        <v>0</v>
      </c>
      <c r="L288" s="498">
        <v>0</v>
      </c>
      <c r="M288" s="498">
        <v>0</v>
      </c>
      <c r="N288" s="498">
        <v>0</v>
      </c>
      <c r="O288" s="578" t="s">
        <v>2391</v>
      </c>
      <c r="Q288" s="918"/>
    </row>
    <row r="289" spans="1:17" s="497" customFormat="1">
      <c r="B289" s="578" t="s">
        <v>2379</v>
      </c>
      <c r="E289" s="499">
        <v>0</v>
      </c>
      <c r="F289" s="498">
        <v>0</v>
      </c>
      <c r="G289" s="498">
        <v>0</v>
      </c>
      <c r="H289" s="498">
        <v>0</v>
      </c>
      <c r="I289" s="498">
        <v>0</v>
      </c>
      <c r="J289" s="498">
        <v>0</v>
      </c>
      <c r="K289" s="498">
        <v>0</v>
      </c>
      <c r="L289" s="498">
        <v>0</v>
      </c>
      <c r="M289" s="498">
        <v>0</v>
      </c>
      <c r="N289" s="498">
        <v>0</v>
      </c>
      <c r="O289" s="578" t="s">
        <v>2392</v>
      </c>
      <c r="Q289" s="918"/>
    </row>
    <row r="290" spans="1:17" s="497" customFormat="1">
      <c r="E290" s="499"/>
      <c r="F290" s="498"/>
      <c r="G290" s="498"/>
      <c r="H290" s="498"/>
      <c r="I290" s="498"/>
      <c r="J290" s="498"/>
      <c r="K290" s="498"/>
      <c r="L290" s="498"/>
      <c r="M290" s="498"/>
      <c r="N290" s="498"/>
      <c r="Q290" s="918"/>
    </row>
    <row r="291" spans="1:17" s="11" customFormat="1">
      <c r="A291" s="11" t="s">
        <v>108</v>
      </c>
      <c r="E291" s="17"/>
      <c r="F291" s="15"/>
      <c r="G291" s="15"/>
      <c r="H291" s="15"/>
      <c r="I291" s="15"/>
      <c r="J291" s="17"/>
      <c r="K291" s="15"/>
      <c r="L291" s="15"/>
      <c r="M291" s="15"/>
      <c r="N291" s="15"/>
    </row>
    <row r="292" spans="1:17">
      <c r="E292" s="19" t="s">
        <v>109</v>
      </c>
      <c r="J292" s="19" t="s">
        <v>109</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2"/>
  </sheetPr>
  <dimension ref="A1:AC125"/>
  <sheetViews>
    <sheetView topLeftCell="A94" workbookViewId="0">
      <selection activeCell="J118" sqref="J118"/>
    </sheetView>
  </sheetViews>
  <sheetFormatPr defaultColWidth="8.81640625" defaultRowHeight="13.8"/>
  <cols>
    <col min="1" max="1" width="4.7265625" style="5" customWidth="1"/>
    <col min="2" max="2" width="4.7265625" style="6" customWidth="1"/>
    <col min="3" max="3" width="4.7265625" style="5" customWidth="1"/>
    <col min="4" max="4" width="31.7265625" style="5" customWidth="1"/>
    <col min="5" max="5" width="12.7265625" style="5" customWidth="1"/>
    <col min="6" max="6" width="24.1796875" style="5" customWidth="1"/>
    <col min="7" max="9" width="12.7265625" style="5" customWidth="1"/>
    <col min="10" max="10" width="15.08984375" style="5" customWidth="1"/>
    <col min="11" max="16" width="8.81640625" style="5"/>
    <col min="17" max="17" width="10.453125" style="5" bestFit="1" customWidth="1"/>
    <col min="18" max="22" width="8.81640625" style="5"/>
    <col min="23" max="23" width="10.453125" style="5" bestFit="1" customWidth="1"/>
    <col min="24" max="28" width="8.81640625" style="5"/>
    <col min="29" max="29" width="10.453125" style="5" bestFit="1" customWidth="1"/>
    <col min="30" max="16384" width="8.81640625" style="5"/>
  </cols>
  <sheetData>
    <row r="1" spans="1:29" s="874" customFormat="1" ht="32.4">
      <c r="A1" s="873" t="s">
        <v>6</v>
      </c>
      <c r="B1" s="873"/>
      <c r="E1" s="874" t="s">
        <v>7</v>
      </c>
      <c r="G1" s="875" t="s">
        <v>12</v>
      </c>
      <c r="H1" s="875" t="s">
        <v>13</v>
      </c>
      <c r="I1" s="875" t="s">
        <v>199</v>
      </c>
      <c r="J1" s="875" t="s">
        <v>14</v>
      </c>
      <c r="L1" s="873" t="s">
        <v>15</v>
      </c>
    </row>
    <row r="2" spans="1:29" s="874" customFormat="1" ht="32.4">
      <c r="A2" s="876" t="s">
        <v>2630</v>
      </c>
      <c r="B2" s="873"/>
      <c r="E2" s="874" t="b">
        <f>xxNumOfTeams&gt;0</f>
        <v>1</v>
      </c>
      <c r="F2" s="873" t="s">
        <v>2631</v>
      </c>
      <c r="G2" s="875" t="s">
        <v>12</v>
      </c>
      <c r="H2" s="875" t="s">
        <v>13</v>
      </c>
      <c r="I2" s="875" t="s">
        <v>199</v>
      </c>
      <c r="J2" s="875" t="s">
        <v>14</v>
      </c>
      <c r="L2" s="873" t="s">
        <v>15</v>
      </c>
    </row>
    <row r="3" spans="1:29" s="1" customFormat="1" ht="22.8">
      <c r="B3" s="2"/>
      <c r="F3" s="3" t="s">
        <v>16</v>
      </c>
      <c r="G3" s="3" t="s">
        <v>17</v>
      </c>
      <c r="H3" s="3" t="s">
        <v>18</v>
      </c>
      <c r="I3" s="3" t="s">
        <v>97</v>
      </c>
      <c r="J3" s="3" t="s">
        <v>19</v>
      </c>
      <c r="L3" s="4" t="s">
        <v>20</v>
      </c>
      <c r="M3" s="4" t="s">
        <v>21</v>
      </c>
      <c r="N3" s="4" t="s">
        <v>22</v>
      </c>
      <c r="O3" s="4" t="s">
        <v>23</v>
      </c>
      <c r="P3" s="4" t="s">
        <v>24</v>
      </c>
      <c r="R3" s="4" t="s">
        <v>25</v>
      </c>
      <c r="S3" s="4" t="s">
        <v>26</v>
      </c>
      <c r="T3" s="4" t="s">
        <v>27</v>
      </c>
      <c r="U3" s="4" t="s">
        <v>28</v>
      </c>
      <c r="V3" s="4" t="s">
        <v>29</v>
      </c>
      <c r="X3" s="4" t="s">
        <v>30</v>
      </c>
      <c r="Y3" s="4" t="s">
        <v>31</v>
      </c>
      <c r="Z3" s="4" t="s">
        <v>32</v>
      </c>
      <c r="AA3" s="4" t="s">
        <v>33</v>
      </c>
      <c r="AB3" s="4" t="s">
        <v>34</v>
      </c>
    </row>
    <row r="4" spans="1:29">
      <c r="B4" s="6" t="s">
        <v>35</v>
      </c>
      <c r="F4" s="6"/>
      <c r="G4" s="7"/>
      <c r="H4" s="7"/>
      <c r="I4" s="7"/>
      <c r="J4" s="7"/>
      <c r="L4" s="7"/>
      <c r="M4" s="7"/>
      <c r="N4" s="7"/>
      <c r="O4" s="7"/>
      <c r="P4" s="7"/>
      <c r="Q4" s="5" t="s">
        <v>36</v>
      </c>
      <c r="R4" s="7"/>
      <c r="S4" s="7"/>
      <c r="T4" s="7"/>
      <c r="U4" s="7"/>
      <c r="V4" s="7"/>
      <c r="W4" s="6" t="s">
        <v>37</v>
      </c>
      <c r="X4" s="7"/>
      <c r="Y4" s="7"/>
      <c r="Z4" s="7"/>
      <c r="AA4" s="7"/>
      <c r="AB4" s="7"/>
      <c r="AC4" s="6" t="s">
        <v>38</v>
      </c>
    </row>
    <row r="5" spans="1:29">
      <c r="F5" s="6"/>
      <c r="G5" s="7"/>
      <c r="H5" s="7"/>
      <c r="I5" s="7"/>
      <c r="J5" s="7"/>
      <c r="L5" s="7"/>
      <c r="M5" s="7"/>
      <c r="N5" s="7"/>
      <c r="O5" s="7"/>
      <c r="P5" s="7"/>
      <c r="R5" s="7"/>
      <c r="S5" s="7"/>
      <c r="T5" s="7"/>
      <c r="U5" s="7"/>
      <c r="V5" s="7"/>
      <c r="W5" s="6"/>
      <c r="X5" s="7"/>
      <c r="Y5" s="7"/>
      <c r="Z5" s="7"/>
      <c r="AA5" s="7"/>
      <c r="AB5" s="7"/>
      <c r="AC5" s="6"/>
    </row>
    <row r="6" spans="1:29">
      <c r="B6" s="48" t="s">
        <v>223</v>
      </c>
      <c r="F6" s="6"/>
      <c r="G6" s="7"/>
      <c r="H6" s="7"/>
      <c r="I6" s="7"/>
      <c r="J6" s="7"/>
      <c r="L6" s="7"/>
      <c r="M6" s="7"/>
      <c r="N6" s="7"/>
      <c r="O6" s="7"/>
      <c r="P6" s="7"/>
      <c r="R6" s="7"/>
      <c r="S6" s="7"/>
      <c r="T6" s="7"/>
      <c r="U6" s="7"/>
      <c r="V6" s="7"/>
      <c r="W6" s="6"/>
      <c r="X6" s="7"/>
      <c r="Y6" s="7"/>
      <c r="Z6" s="7"/>
      <c r="AA6" s="7"/>
      <c r="AB6" s="7"/>
      <c r="AC6" s="6"/>
    </row>
    <row r="7" spans="1:29">
      <c r="B7" s="6" t="s">
        <v>39</v>
      </c>
      <c r="E7" s="136" t="str">
        <f>dec_TeamName</f>
        <v>Nimbolt</v>
      </c>
      <c r="F7" s="6" t="s">
        <v>40</v>
      </c>
      <c r="G7" s="7" t="str">
        <f>dec_TeamName</f>
        <v>Nimbolt</v>
      </c>
      <c r="H7" s="7" t="b">
        <v>0</v>
      </c>
      <c r="I7" s="7" t="b">
        <v>1</v>
      </c>
      <c r="J7" s="135" t="s">
        <v>2899</v>
      </c>
      <c r="L7" s="7"/>
      <c r="M7" s="7"/>
      <c r="N7" s="7"/>
      <c r="O7" s="7"/>
      <c r="P7" s="7"/>
      <c r="R7" s="7"/>
      <c r="S7" s="7"/>
      <c r="T7" s="7"/>
      <c r="U7" s="7"/>
      <c r="V7" s="7"/>
      <c r="X7" s="7"/>
      <c r="Y7" s="7"/>
      <c r="Z7" s="7"/>
      <c r="AA7" s="7"/>
      <c r="AB7" s="7"/>
    </row>
    <row r="8" spans="1:29">
      <c r="B8" s="6" t="s">
        <v>87</v>
      </c>
      <c r="E8" s="136">
        <f>dec_TeamNumber</f>
        <v>1</v>
      </c>
      <c r="F8" s="6" t="s">
        <v>3317</v>
      </c>
      <c r="G8" s="7">
        <f>dec_TeamNumber</f>
        <v>1</v>
      </c>
      <c r="H8" s="7" t="b">
        <v>0</v>
      </c>
      <c r="I8" s="7" t="b">
        <v>1</v>
      </c>
      <c r="J8" s="135">
        <v>1</v>
      </c>
      <c r="L8" s="7"/>
      <c r="M8" s="7"/>
      <c r="N8" s="7"/>
      <c r="O8" s="7"/>
      <c r="P8" s="7"/>
      <c r="R8" s="7"/>
      <c r="S8" s="7"/>
      <c r="T8" s="7"/>
      <c r="U8" s="7"/>
      <c r="V8" s="7"/>
      <c r="X8" s="7"/>
      <c r="Y8" s="7"/>
      <c r="Z8" s="7"/>
      <c r="AA8" s="7"/>
      <c r="AB8" s="7"/>
    </row>
    <row r="9" spans="1:29">
      <c r="B9" s="6" t="s">
        <v>41</v>
      </c>
      <c r="E9" s="136">
        <f>dec_Round</f>
        <v>1</v>
      </c>
      <c r="F9" s="6" t="s">
        <v>3318</v>
      </c>
      <c r="G9" s="7">
        <f>dec_Round</f>
        <v>1</v>
      </c>
      <c r="H9" s="7" t="b">
        <v>0</v>
      </c>
      <c r="I9" s="7" t="b">
        <v>0</v>
      </c>
      <c r="J9" s="135">
        <v>0</v>
      </c>
      <c r="L9" s="7"/>
      <c r="M9" s="7"/>
      <c r="N9" s="7"/>
      <c r="O9" s="7"/>
      <c r="P9" s="7"/>
      <c r="R9" s="7"/>
      <c r="S9" s="7"/>
      <c r="T9" s="7"/>
      <c r="U9" s="7"/>
      <c r="V9" s="7"/>
      <c r="X9" s="7"/>
      <c r="Y9" s="7"/>
      <c r="Z9" s="7"/>
      <c r="AA9" s="7"/>
      <c r="AB9" s="7"/>
    </row>
    <row r="10" spans="1:29">
      <c r="F10" s="6"/>
      <c r="G10" s="7"/>
      <c r="H10" s="7"/>
      <c r="I10" s="7"/>
      <c r="J10" s="7"/>
      <c r="L10" s="7"/>
      <c r="M10" s="7"/>
      <c r="N10" s="7"/>
      <c r="O10" s="7"/>
      <c r="P10" s="7"/>
      <c r="R10" s="7"/>
      <c r="S10" s="7"/>
      <c r="T10" s="7"/>
      <c r="U10" s="7"/>
      <c r="V10" s="7"/>
      <c r="X10" s="7"/>
      <c r="Y10" s="7"/>
      <c r="Z10" s="7"/>
      <c r="AA10" s="7"/>
      <c r="AB10" s="7"/>
    </row>
    <row r="11" spans="1:29">
      <c r="B11" s="48" t="s">
        <v>1086</v>
      </c>
      <c r="F11" s="6"/>
      <c r="G11" s="7"/>
      <c r="H11" s="7"/>
      <c r="I11" s="7"/>
      <c r="J11" s="7"/>
      <c r="L11" s="7"/>
      <c r="M11" s="7"/>
      <c r="N11" s="7"/>
      <c r="O11" s="7"/>
      <c r="P11" s="7"/>
      <c r="R11" s="7"/>
      <c r="S11" s="7"/>
      <c r="T11" s="7"/>
      <c r="U11" s="7"/>
      <c r="V11" s="7"/>
      <c r="X11" s="7"/>
      <c r="Y11" s="7"/>
      <c r="Z11" s="7"/>
      <c r="AA11" s="7"/>
      <c r="AB11" s="7"/>
    </row>
    <row r="12" spans="1:29">
      <c r="B12" s="282" t="s">
        <v>197</v>
      </c>
      <c r="F12" s="6"/>
      <c r="G12" s="7"/>
      <c r="H12" s="7"/>
      <c r="I12" s="7"/>
      <c r="J12" s="7"/>
      <c r="L12" s="7"/>
      <c r="M12" s="7"/>
      <c r="N12" s="7"/>
      <c r="O12" s="7"/>
      <c r="P12" s="7"/>
      <c r="R12" s="7"/>
      <c r="S12" s="7"/>
      <c r="T12" s="7"/>
      <c r="U12" s="7"/>
      <c r="V12" s="7"/>
      <c r="X12" s="7"/>
      <c r="Y12" s="7"/>
      <c r="Z12" s="7"/>
      <c r="AA12" s="7"/>
      <c r="AB12" s="7"/>
    </row>
    <row r="13" spans="1:29">
      <c r="C13" s="283" t="s">
        <v>487</v>
      </c>
      <c r="E13" s="520">
        <f>tlInputOpsTotalMarketingBudget</f>
        <v>1500000</v>
      </c>
      <c r="F13" s="6" t="s">
        <v>1137</v>
      </c>
      <c r="G13" s="521">
        <f>tlInputOpsTotalMarketingBudget</f>
        <v>1500000</v>
      </c>
      <c r="H13" s="7"/>
      <c r="I13" s="7"/>
      <c r="J13" s="487">
        <v>1500000</v>
      </c>
      <c r="L13" s="7"/>
      <c r="M13" s="7"/>
      <c r="N13" s="7"/>
      <c r="O13" s="7"/>
      <c r="P13" s="7"/>
      <c r="R13" s="7"/>
      <c r="S13" s="7"/>
      <c r="T13" s="7"/>
      <c r="U13" s="7"/>
      <c r="V13" s="7"/>
      <c r="X13" s="7"/>
      <c r="Y13" s="7"/>
      <c r="Z13" s="7"/>
      <c r="AA13" s="7"/>
      <c r="AB13" s="7"/>
    </row>
    <row r="14" spans="1:29">
      <c r="C14" s="6"/>
      <c r="D14" s="6"/>
      <c r="E14" s="6"/>
      <c r="F14" s="6"/>
      <c r="G14" s="521"/>
      <c r="H14" s="7"/>
      <c r="I14" s="7"/>
      <c r="J14" s="487"/>
      <c r="L14" s="7"/>
      <c r="M14" s="7"/>
      <c r="N14" s="7"/>
      <c r="O14" s="7"/>
      <c r="P14" s="7"/>
      <c r="R14" s="7"/>
      <c r="S14" s="7"/>
      <c r="T14" s="7"/>
      <c r="U14" s="7"/>
      <c r="V14" s="7"/>
      <c r="X14" s="7"/>
      <c r="Y14" s="7"/>
      <c r="Z14" s="7"/>
      <c r="AA14" s="7"/>
      <c r="AB14" s="7"/>
    </row>
    <row r="15" spans="1:29">
      <c r="C15" s="283" t="s">
        <v>552</v>
      </c>
      <c r="E15" s="280">
        <f>tlInputOpsCommercialMarketingBudget</f>
        <v>0.55000000000000004</v>
      </c>
      <c r="F15" s="6" t="s">
        <v>1138</v>
      </c>
      <c r="G15" s="281">
        <f>tlInputOpsCommercialMarketingBudget</f>
        <v>0.55000000000000004</v>
      </c>
      <c r="H15" s="7"/>
      <c r="I15" s="7"/>
      <c r="J15" s="139">
        <v>0.55000000000000004</v>
      </c>
      <c r="L15" s="7"/>
      <c r="M15" s="7"/>
      <c r="N15" s="7"/>
      <c r="O15" s="7"/>
      <c r="P15" s="7"/>
      <c r="R15" s="7"/>
      <c r="S15" s="7"/>
      <c r="T15" s="7"/>
      <c r="U15" s="7"/>
      <c r="V15" s="7"/>
      <c r="X15" s="7"/>
      <c r="Y15" s="7"/>
      <c r="Z15" s="7"/>
      <c r="AA15" s="7"/>
      <c r="AB15" s="7"/>
    </row>
    <row r="16" spans="1:29">
      <c r="C16" s="283" t="str">
        <f>"Commercial "&amp;nmProd1&amp;" Marketing Budget"</f>
        <v>Commercial Productivity &amp; Business Marketing Budget</v>
      </c>
      <c r="E16" s="280">
        <f>tlInputOpsCommercialProd1Marketing</f>
        <v>0.4</v>
      </c>
      <c r="F16" s="6" t="s">
        <v>1232</v>
      </c>
      <c r="G16" s="281">
        <f>tlInputOpsCommercialProd1Marketing</f>
        <v>0.4</v>
      </c>
      <c r="H16" s="7"/>
      <c r="I16" s="7"/>
      <c r="J16" s="139">
        <v>0.4</v>
      </c>
      <c r="L16" s="7"/>
      <c r="M16" s="7"/>
      <c r="N16" s="7"/>
      <c r="O16" s="7"/>
      <c r="P16" s="7"/>
      <c r="R16" s="7"/>
      <c r="S16" s="7"/>
      <c r="T16" s="7"/>
      <c r="U16" s="7"/>
      <c r="V16" s="7"/>
      <c r="X16" s="7"/>
      <c r="Y16" s="7"/>
      <c r="Z16" s="7"/>
      <c r="AA16" s="7"/>
      <c r="AB16" s="7"/>
    </row>
    <row r="17" spans="2:28">
      <c r="C17" s="283" t="str">
        <f>"Commercial "&amp;nmProd2&amp;" Marketing Budget"</f>
        <v>Commercial Intelligent Cloud Marketing Budget</v>
      </c>
      <c r="E17" s="280">
        <f>tlInputOpsCommercialProd2Marketing</f>
        <v>0.25</v>
      </c>
      <c r="F17" s="6" t="s">
        <v>1233</v>
      </c>
      <c r="G17" s="281">
        <f>tlInputOpsCommercialProd2Marketing</f>
        <v>0.25</v>
      </c>
      <c r="H17" s="7"/>
      <c r="I17" s="7"/>
      <c r="J17" s="139">
        <v>0.25</v>
      </c>
      <c r="L17" s="7"/>
      <c r="M17" s="7"/>
      <c r="N17" s="7"/>
      <c r="O17" s="7"/>
      <c r="P17" s="7"/>
      <c r="R17" s="7"/>
      <c r="S17" s="7"/>
      <c r="T17" s="7"/>
      <c r="U17" s="7"/>
      <c r="V17" s="7"/>
      <c r="X17" s="7"/>
      <c r="Y17" s="7"/>
      <c r="Z17" s="7"/>
      <c r="AA17" s="7"/>
      <c r="AB17" s="7"/>
    </row>
    <row r="18" spans="2:28">
      <c r="C18" s="283" t="str">
        <f>"Commercial "&amp;nmProd3&amp;" Marketing Budget"</f>
        <v>Commercial Personal Computing Marketing Budget</v>
      </c>
      <c r="E18" s="280">
        <f>tlInputOpsCommercialProd3Marketing</f>
        <v>0.35</v>
      </c>
      <c r="F18" s="6" t="s">
        <v>3319</v>
      </c>
      <c r="G18" s="281">
        <f>tlInputOpsCommercialProd3Marketing</f>
        <v>0.35</v>
      </c>
      <c r="H18" s="7"/>
      <c r="I18" s="7"/>
      <c r="J18" s="139">
        <v>0.35</v>
      </c>
      <c r="L18" s="7"/>
      <c r="M18" s="7"/>
      <c r="N18" s="7"/>
      <c r="O18" s="7"/>
      <c r="P18" s="7"/>
      <c r="R18" s="7"/>
      <c r="S18" s="7"/>
      <c r="T18" s="7"/>
      <c r="U18" s="7"/>
      <c r="V18" s="7"/>
      <c r="X18" s="7"/>
      <c r="Y18" s="7"/>
      <c r="Z18" s="7"/>
      <c r="AA18" s="7"/>
      <c r="AB18" s="7"/>
    </row>
    <row r="19" spans="2:28" s="530" customFormat="1">
      <c r="B19" s="531"/>
      <c r="C19" s="532"/>
      <c r="E19" s="533"/>
      <c r="F19" s="531"/>
      <c r="G19" s="534"/>
      <c r="J19" s="534"/>
    </row>
    <row r="20" spans="2:28">
      <c r="C20" s="283" t="s">
        <v>1128</v>
      </c>
      <c r="E20" s="280">
        <f>tlInputOpsConsumerMarketingBudget</f>
        <v>0.44999999999999996</v>
      </c>
      <c r="F20" s="6" t="s">
        <v>3320</v>
      </c>
      <c r="G20" s="281">
        <f>tlInputOpsConsumerMarketingBudget</f>
        <v>0.44999999999999996</v>
      </c>
      <c r="H20" s="7"/>
      <c r="I20" s="7"/>
      <c r="J20" s="139">
        <v>0.44999999999999996</v>
      </c>
      <c r="L20" s="7"/>
      <c r="M20" s="7"/>
      <c r="N20" s="7"/>
      <c r="O20" s="7"/>
      <c r="P20" s="7"/>
      <c r="R20" s="7"/>
      <c r="S20" s="7"/>
      <c r="T20" s="7"/>
      <c r="U20" s="7"/>
      <c r="V20" s="7"/>
      <c r="X20" s="7"/>
      <c r="Y20" s="7"/>
      <c r="Z20" s="7"/>
      <c r="AA20" s="7"/>
      <c r="AB20" s="7"/>
    </row>
    <row r="21" spans="2:28">
      <c r="C21" s="283" t="str">
        <f>"Consumer "&amp;nmProd1&amp;" Marketing Budget"</f>
        <v>Consumer Productivity &amp; Business Marketing Budget</v>
      </c>
      <c r="E21" s="280">
        <f>tlInputOpsConsumerProd1Marketing</f>
        <v>0.45</v>
      </c>
      <c r="F21" s="6" t="s">
        <v>1234</v>
      </c>
      <c r="G21" s="281">
        <f>tlInputOpsConsumerProd1Marketing</f>
        <v>0.45</v>
      </c>
      <c r="H21" s="7"/>
      <c r="I21" s="7"/>
      <c r="J21" s="139">
        <v>0.45000000000000012</v>
      </c>
      <c r="L21" s="7"/>
      <c r="M21" s="7"/>
      <c r="N21" s="7"/>
      <c r="O21" s="7"/>
      <c r="P21" s="7"/>
      <c r="R21" s="7"/>
      <c r="S21" s="7"/>
      <c r="T21" s="7"/>
      <c r="U21" s="7"/>
      <c r="V21" s="7"/>
      <c r="X21" s="7"/>
      <c r="Y21" s="7"/>
      <c r="Z21" s="7"/>
      <c r="AA21" s="7"/>
      <c r="AB21" s="7"/>
    </row>
    <row r="22" spans="2:28">
      <c r="C22" s="283" t="str">
        <f>"Consumer "&amp;nmProd3&amp;" Marketing Budget"</f>
        <v>Consumer Personal Computing Marketing Budget</v>
      </c>
      <c r="E22" s="280">
        <f>tlInputOpsConsumerProd3Marketing</f>
        <v>0.55000000000000004</v>
      </c>
      <c r="F22" s="6" t="s">
        <v>3321</v>
      </c>
      <c r="G22" s="281">
        <f>tlInputOpsConsumerProd3Marketing</f>
        <v>0.55000000000000004</v>
      </c>
      <c r="H22" s="7"/>
      <c r="I22" s="7"/>
      <c r="J22" s="139">
        <v>0.54999999999999982</v>
      </c>
      <c r="L22" s="7"/>
      <c r="M22" s="7"/>
      <c r="N22" s="7"/>
      <c r="O22" s="7"/>
      <c r="P22" s="7"/>
      <c r="R22" s="7"/>
      <c r="S22" s="7"/>
      <c r="T22" s="7"/>
      <c r="U22" s="7"/>
      <c r="V22" s="7"/>
      <c r="X22" s="7"/>
      <c r="Y22" s="7"/>
      <c r="Z22" s="7"/>
      <c r="AA22" s="7"/>
      <c r="AB22" s="7"/>
    </row>
    <row r="23" spans="2:28">
      <c r="B23" s="48"/>
      <c r="F23" s="6"/>
      <c r="G23" s="7"/>
      <c r="H23" s="7"/>
      <c r="I23" s="7"/>
      <c r="J23" s="7"/>
      <c r="L23" s="7"/>
      <c r="M23" s="7"/>
      <c r="N23" s="7"/>
      <c r="O23" s="7"/>
      <c r="P23" s="7"/>
      <c r="R23" s="7"/>
      <c r="S23" s="7"/>
      <c r="T23" s="7"/>
      <c r="U23" s="7"/>
      <c r="V23" s="7"/>
      <c r="X23" s="7"/>
      <c r="Y23" s="7"/>
      <c r="Z23" s="7"/>
      <c r="AA23" s="7"/>
      <c r="AB23" s="7"/>
    </row>
    <row r="24" spans="2:28">
      <c r="B24" s="282" t="s">
        <v>488</v>
      </c>
      <c r="C24" s="282"/>
      <c r="F24" s="6"/>
      <c r="G24" s="7"/>
      <c r="H24" s="7"/>
      <c r="I24" s="7"/>
      <c r="J24" s="7"/>
      <c r="L24" s="7"/>
      <c r="M24" s="7"/>
      <c r="N24" s="7"/>
      <c r="O24" s="7"/>
      <c r="P24" s="7"/>
      <c r="R24" s="7"/>
      <c r="S24" s="7"/>
      <c r="T24" s="7"/>
      <c r="U24" s="7"/>
      <c r="V24" s="7"/>
      <c r="X24" s="7"/>
      <c r="Y24" s="7"/>
      <c r="Z24" s="7"/>
      <c r="AA24" s="7"/>
      <c r="AB24" s="7"/>
    </row>
    <row r="25" spans="2:28">
      <c r="C25" s="283" t="s">
        <v>490</v>
      </c>
      <c r="E25" s="278">
        <f>tlInputOpsITFTEs</f>
        <v>15</v>
      </c>
      <c r="F25" s="6" t="s">
        <v>760</v>
      </c>
      <c r="G25" s="7">
        <f>tlInputOpsITFTEs</f>
        <v>15</v>
      </c>
      <c r="H25" s="7"/>
      <c r="I25" s="7"/>
      <c r="J25" s="279">
        <v>10</v>
      </c>
      <c r="L25" s="7"/>
      <c r="M25" s="7"/>
      <c r="N25" s="7"/>
      <c r="O25" s="7"/>
      <c r="P25" s="7"/>
      <c r="R25" s="7"/>
      <c r="S25" s="7"/>
      <c r="T25" s="7"/>
      <c r="U25" s="7"/>
      <c r="V25" s="7"/>
      <c r="X25" s="7"/>
      <c r="Y25" s="7"/>
      <c r="Z25" s="7"/>
      <c r="AA25" s="7"/>
      <c r="AB25" s="7"/>
    </row>
    <row r="26" spans="2:28">
      <c r="C26" s="283" t="s">
        <v>3209</v>
      </c>
      <c r="E26" s="278">
        <f>tlInputOpsGlobalDemandCenterFTEs</f>
        <v>40</v>
      </c>
      <c r="F26" s="6" t="s">
        <v>3210</v>
      </c>
      <c r="G26" s="7">
        <f>tlInputOpsGlobalDemandCenterFTEs</f>
        <v>40</v>
      </c>
      <c r="H26" s="7"/>
      <c r="I26" s="7"/>
      <c r="J26" s="279">
        <v>40</v>
      </c>
      <c r="L26" s="7"/>
      <c r="M26" s="7"/>
      <c r="N26" s="7"/>
      <c r="O26" s="7"/>
      <c r="P26" s="7"/>
      <c r="R26" s="7"/>
      <c r="S26" s="7"/>
      <c r="T26" s="7"/>
      <c r="U26" s="7"/>
      <c r="V26" s="7"/>
      <c r="X26" s="7"/>
      <c r="Y26" s="7"/>
      <c r="Z26" s="7"/>
      <c r="AA26" s="7"/>
      <c r="AB26" s="7"/>
    </row>
    <row r="27" spans="2:28">
      <c r="C27" s="283" t="s">
        <v>489</v>
      </c>
      <c r="E27" s="278">
        <f>tlInputOpsSupplyChainFTEs</f>
        <v>10</v>
      </c>
      <c r="F27" s="6" t="s">
        <v>761</v>
      </c>
      <c r="G27" s="7">
        <f>tlInputOpsSupplyChainFTEs</f>
        <v>10</v>
      </c>
      <c r="H27" s="7"/>
      <c r="I27" s="7"/>
      <c r="J27" s="279">
        <v>10</v>
      </c>
      <c r="L27" s="7"/>
      <c r="M27" s="7"/>
      <c r="N27" s="7"/>
      <c r="O27" s="7"/>
      <c r="P27" s="7"/>
      <c r="R27" s="7"/>
      <c r="S27" s="7"/>
      <c r="T27" s="7"/>
      <c r="U27" s="7"/>
      <c r="V27" s="7"/>
      <c r="X27" s="7"/>
      <c r="Y27" s="7"/>
      <c r="Z27" s="7"/>
      <c r="AA27" s="7"/>
      <c r="AB27" s="7"/>
    </row>
    <row r="28" spans="2:28">
      <c r="C28" s="283" t="s">
        <v>491</v>
      </c>
      <c r="E28" s="278">
        <f>tlInputOpsCollabFTEs</f>
        <v>10</v>
      </c>
      <c r="F28" s="6" t="s">
        <v>2813</v>
      </c>
      <c r="G28" s="7">
        <f>tlInputOpsCollabFTEs</f>
        <v>10</v>
      </c>
      <c r="H28" s="7"/>
      <c r="I28" s="7"/>
      <c r="J28" s="279">
        <v>10</v>
      </c>
      <c r="L28" s="7"/>
      <c r="M28" s="7"/>
      <c r="N28" s="7"/>
      <c r="O28" s="7"/>
      <c r="P28" s="7"/>
      <c r="R28" s="7"/>
      <c r="S28" s="7"/>
      <c r="T28" s="7"/>
      <c r="U28" s="7"/>
      <c r="V28" s="7"/>
      <c r="X28" s="7"/>
      <c r="Y28" s="7"/>
      <c r="Z28" s="7"/>
      <c r="AA28" s="7"/>
      <c r="AB28" s="7"/>
    </row>
    <row r="29" spans="2:28">
      <c r="F29" s="6"/>
      <c r="G29" s="7"/>
      <c r="H29" s="7"/>
      <c r="I29" s="7"/>
      <c r="J29" s="7"/>
      <c r="L29" s="7"/>
      <c r="M29" s="7"/>
      <c r="N29" s="7"/>
      <c r="O29" s="7"/>
      <c r="P29" s="7"/>
      <c r="R29" s="7"/>
      <c r="S29" s="7"/>
      <c r="T29" s="7"/>
      <c r="U29" s="7"/>
      <c r="V29" s="7"/>
      <c r="X29" s="7"/>
      <c r="Y29" s="7"/>
      <c r="Z29" s="7"/>
      <c r="AA29" s="7"/>
      <c r="AB29" s="7"/>
    </row>
    <row r="30" spans="2:28">
      <c r="B30" s="282" t="s">
        <v>1479</v>
      </c>
      <c r="C30" s="282"/>
      <c r="F30" s="6"/>
      <c r="G30" s="7"/>
      <c r="H30" s="7"/>
      <c r="I30" s="7"/>
      <c r="J30" s="7"/>
      <c r="L30" s="7"/>
      <c r="M30" s="7"/>
      <c r="N30" s="7"/>
      <c r="O30" s="7"/>
      <c r="P30" s="7"/>
      <c r="R30" s="7"/>
      <c r="S30" s="7"/>
      <c r="T30" s="7"/>
      <c r="U30" s="7"/>
      <c r="V30" s="7"/>
      <c r="X30" s="7"/>
      <c r="Y30" s="7"/>
      <c r="Z30" s="7"/>
      <c r="AA30" s="7"/>
      <c r="AB30" s="7"/>
    </row>
    <row r="31" spans="2:28">
      <c r="C31" s="283" t="s">
        <v>1480</v>
      </c>
      <c r="E31" s="278">
        <f>tlInputOpsDataCenter</f>
        <v>0</v>
      </c>
      <c r="F31" s="6" t="s">
        <v>1481</v>
      </c>
      <c r="G31" s="7">
        <f>tlInputOpsDataCenter</f>
        <v>0</v>
      </c>
      <c r="H31" s="7"/>
      <c r="I31" s="7"/>
      <c r="J31" s="279">
        <v>0</v>
      </c>
      <c r="L31" s="7"/>
      <c r="M31" s="7"/>
      <c r="N31" s="7"/>
      <c r="O31" s="7"/>
      <c r="P31" s="7"/>
      <c r="R31" s="7"/>
      <c r="S31" s="7"/>
      <c r="T31" s="7"/>
      <c r="U31" s="7"/>
      <c r="V31" s="7"/>
      <c r="X31" s="7"/>
      <c r="Y31" s="7"/>
      <c r="Z31" s="7"/>
      <c r="AA31" s="7"/>
      <c r="AB31" s="7"/>
    </row>
    <row r="32" spans="2:28">
      <c r="F32" s="6"/>
      <c r="G32" s="7"/>
      <c r="H32" s="7"/>
      <c r="I32" s="7"/>
      <c r="J32" s="7"/>
      <c r="L32" s="7"/>
      <c r="M32" s="7"/>
      <c r="N32" s="7"/>
      <c r="O32" s="7"/>
      <c r="P32" s="7"/>
      <c r="R32" s="7"/>
      <c r="S32" s="7"/>
      <c r="T32" s="7"/>
      <c r="U32" s="7"/>
      <c r="V32" s="7"/>
      <c r="X32" s="7"/>
      <c r="Y32" s="7"/>
      <c r="Z32" s="7"/>
      <c r="AA32" s="7"/>
      <c r="AB32" s="7"/>
    </row>
    <row r="33" spans="2:28">
      <c r="B33" s="48" t="s">
        <v>448</v>
      </c>
      <c r="F33" s="6"/>
      <c r="G33" s="7"/>
      <c r="H33" s="7"/>
      <c r="I33" s="7"/>
      <c r="J33" s="7"/>
      <c r="L33" s="7"/>
      <c r="M33" s="7"/>
      <c r="N33" s="7"/>
      <c r="O33" s="7"/>
      <c r="P33" s="7"/>
      <c r="R33" s="7"/>
      <c r="S33" s="7"/>
      <c r="T33" s="7"/>
      <c r="U33" s="7"/>
      <c r="V33" s="7"/>
      <c r="X33" s="7"/>
      <c r="Y33" s="7"/>
      <c r="Z33" s="7"/>
      <c r="AA33" s="7"/>
      <c r="AB33" s="7"/>
    </row>
    <row r="34" spans="2:28">
      <c r="B34" s="282" t="s">
        <v>750</v>
      </c>
      <c r="C34" s="282"/>
      <c r="F34" s="6"/>
      <c r="G34" s="7"/>
      <c r="H34" s="7"/>
      <c r="I34" s="7"/>
      <c r="J34" s="7"/>
      <c r="L34" s="7"/>
      <c r="M34" s="7"/>
      <c r="N34" s="7"/>
      <c r="O34" s="7"/>
      <c r="P34" s="7"/>
      <c r="R34" s="7"/>
      <c r="S34" s="7"/>
      <c r="T34" s="7"/>
      <c r="U34" s="7"/>
      <c r="V34" s="7"/>
      <c r="X34" s="7"/>
      <c r="Y34" s="7"/>
      <c r="Z34" s="7"/>
      <c r="AA34" s="7"/>
      <c r="AB34" s="7"/>
    </row>
    <row r="35" spans="2:28">
      <c r="C35" s="283" t="s">
        <v>450</v>
      </c>
      <c r="E35" s="278">
        <f>tlInputEGSecurity</f>
        <v>0</v>
      </c>
      <c r="F35" s="6" t="s">
        <v>751</v>
      </c>
      <c r="G35" s="7">
        <f>tlInputEGSecurity</f>
        <v>0</v>
      </c>
      <c r="H35" s="7"/>
      <c r="I35" s="7"/>
      <c r="J35" s="279">
        <v>0</v>
      </c>
      <c r="L35" s="7"/>
      <c r="M35" s="7"/>
      <c r="N35" s="7"/>
      <c r="O35" s="7"/>
      <c r="P35" s="7"/>
      <c r="R35" s="7"/>
      <c r="S35" s="7"/>
      <c r="T35" s="7"/>
      <c r="U35" s="7"/>
      <c r="V35" s="7"/>
      <c r="X35" s="7"/>
      <c r="Y35" s="7"/>
      <c r="Z35" s="7"/>
      <c r="AA35" s="7"/>
      <c r="AB35" s="7"/>
    </row>
    <row r="36" spans="2:28">
      <c r="C36" s="283" t="s">
        <v>451</v>
      </c>
      <c r="E36" s="278">
        <f>tlInputEGScalability</f>
        <v>0</v>
      </c>
      <c r="F36" s="6" t="s">
        <v>752</v>
      </c>
      <c r="G36" s="7">
        <f>tlInputEGScalability</f>
        <v>0</v>
      </c>
      <c r="H36" s="7"/>
      <c r="I36" s="7"/>
      <c r="J36" s="279">
        <v>0</v>
      </c>
      <c r="L36" s="7"/>
      <c r="M36" s="7"/>
      <c r="N36" s="7"/>
      <c r="O36" s="7"/>
      <c r="P36" s="7"/>
      <c r="R36" s="7"/>
      <c r="S36" s="7"/>
      <c r="T36" s="7"/>
      <c r="U36" s="7"/>
      <c r="V36" s="7"/>
      <c r="X36" s="7"/>
      <c r="Y36" s="7"/>
      <c r="Z36" s="7"/>
      <c r="AA36" s="7"/>
      <c r="AB36" s="7"/>
    </row>
    <row r="37" spans="2:28">
      <c r="C37" s="283" t="s">
        <v>453</v>
      </c>
      <c r="E37" s="278">
        <f>tlInputEGInteroperability</f>
        <v>0</v>
      </c>
      <c r="F37" s="6" t="s">
        <v>753</v>
      </c>
      <c r="G37" s="7">
        <f>tlInputEGInteroperability</f>
        <v>0</v>
      </c>
      <c r="H37" s="7"/>
      <c r="I37" s="7"/>
      <c r="J37" s="279">
        <v>0</v>
      </c>
      <c r="L37" s="7"/>
      <c r="M37" s="7"/>
      <c r="N37" s="7"/>
      <c r="O37" s="7"/>
      <c r="P37" s="7"/>
      <c r="R37" s="7"/>
      <c r="S37" s="7"/>
      <c r="T37" s="7"/>
      <c r="U37" s="7"/>
      <c r="V37" s="7"/>
      <c r="X37" s="7"/>
      <c r="Y37" s="7"/>
      <c r="Z37" s="7"/>
      <c r="AA37" s="7"/>
      <c r="AB37" s="7"/>
    </row>
    <row r="38" spans="2:28">
      <c r="F38" s="6"/>
      <c r="G38" s="7"/>
      <c r="H38" s="7"/>
      <c r="I38" s="7"/>
      <c r="J38" s="7"/>
      <c r="L38" s="7"/>
      <c r="M38" s="7"/>
      <c r="N38" s="7"/>
      <c r="O38" s="7"/>
      <c r="P38" s="7"/>
      <c r="R38" s="7"/>
      <c r="S38" s="7"/>
      <c r="T38" s="7"/>
      <c r="U38" s="7"/>
      <c r="V38" s="7"/>
      <c r="X38" s="7"/>
      <c r="Y38" s="7"/>
      <c r="Z38" s="7"/>
      <c r="AA38" s="7"/>
      <c r="AB38" s="7"/>
    </row>
    <row r="39" spans="2:28">
      <c r="B39" s="282" t="str">
        <f>nmProd1</f>
        <v>Productivity &amp; Business</v>
      </c>
      <c r="C39" s="282"/>
      <c r="F39" s="6"/>
      <c r="G39" s="7"/>
      <c r="H39" s="7"/>
      <c r="I39" s="7"/>
      <c r="J39" s="7"/>
      <c r="L39" s="7"/>
      <c r="M39" s="7"/>
      <c r="N39" s="7"/>
      <c r="O39" s="7"/>
      <c r="P39" s="7"/>
      <c r="R39" s="7"/>
      <c r="S39" s="7"/>
      <c r="T39" s="7"/>
      <c r="U39" s="7"/>
      <c r="V39" s="7"/>
      <c r="X39" s="7"/>
      <c r="Y39" s="7"/>
      <c r="Z39" s="7"/>
      <c r="AA39" s="7"/>
      <c r="AB39" s="7"/>
    </row>
    <row r="40" spans="2:28">
      <c r="C40" s="283" t="str">
        <f>nmProd1Offering1</f>
        <v>Workspace 365</v>
      </c>
      <c r="E40" s="278">
        <f>tlInputEGProd1Offering1</f>
        <v>0</v>
      </c>
      <c r="F40" s="6" t="s">
        <v>754</v>
      </c>
      <c r="G40" s="7">
        <f>tlInputEGProd1Offering1</f>
        <v>0</v>
      </c>
      <c r="H40" s="7"/>
      <c r="I40" s="7"/>
      <c r="J40" s="279">
        <v>0</v>
      </c>
      <c r="L40" s="7"/>
      <c r="M40" s="7"/>
      <c r="N40" s="7"/>
      <c r="O40" s="7"/>
      <c r="P40" s="7"/>
      <c r="R40" s="7"/>
      <c r="S40" s="7"/>
      <c r="T40" s="7"/>
      <c r="U40" s="7"/>
      <c r="V40" s="7"/>
      <c r="X40" s="7"/>
      <c r="Y40" s="7"/>
      <c r="Z40" s="7"/>
      <c r="AA40" s="7"/>
      <c r="AB40" s="7"/>
    </row>
    <row r="41" spans="2:28">
      <c r="C41" s="283" t="str">
        <f>nmProd1Offering2</f>
        <v>Dynamo 365</v>
      </c>
      <c r="E41" s="278">
        <f>tlInputEGProd1Offering2</f>
        <v>0</v>
      </c>
      <c r="F41" s="6" t="s">
        <v>755</v>
      </c>
      <c r="G41" s="7">
        <f>tlInputEGProd1Offering2</f>
        <v>0</v>
      </c>
      <c r="H41" s="7"/>
      <c r="I41" s="7"/>
      <c r="J41" s="279">
        <v>0</v>
      </c>
      <c r="L41" s="7"/>
      <c r="M41" s="7"/>
      <c r="N41" s="7"/>
      <c r="O41" s="7"/>
      <c r="P41" s="7"/>
      <c r="R41" s="7"/>
      <c r="S41" s="7"/>
      <c r="T41" s="7"/>
      <c r="U41" s="7"/>
      <c r="V41" s="7"/>
      <c r="X41" s="7"/>
      <c r="Y41" s="7"/>
      <c r="Z41" s="7"/>
      <c r="AA41" s="7"/>
      <c r="AB41" s="7"/>
    </row>
    <row r="42" spans="2:28">
      <c r="F42" s="6"/>
      <c r="G42" s="7"/>
      <c r="H42" s="7"/>
      <c r="I42" s="7"/>
      <c r="J42" s="7"/>
      <c r="L42" s="7"/>
      <c r="M42" s="7"/>
      <c r="N42" s="7"/>
      <c r="O42" s="7"/>
      <c r="P42" s="7"/>
      <c r="R42" s="7"/>
      <c r="S42" s="7"/>
      <c r="T42" s="7"/>
      <c r="U42" s="7"/>
      <c r="V42" s="7"/>
      <c r="X42" s="7"/>
      <c r="Y42" s="7"/>
      <c r="Z42" s="7"/>
      <c r="AA42" s="7"/>
      <c r="AB42" s="7"/>
    </row>
    <row r="43" spans="2:28">
      <c r="B43" s="282" t="str">
        <f>nmProd2</f>
        <v>Intelligent Cloud</v>
      </c>
      <c r="C43" s="282"/>
      <c r="F43" s="6"/>
      <c r="G43" s="7"/>
      <c r="H43" s="7"/>
      <c r="I43" s="7"/>
      <c r="J43" s="7"/>
      <c r="L43" s="7"/>
      <c r="M43" s="7"/>
      <c r="N43" s="7"/>
      <c r="O43" s="7"/>
      <c r="P43" s="7"/>
      <c r="R43" s="7"/>
      <c r="S43" s="7"/>
      <c r="T43" s="7"/>
      <c r="U43" s="7"/>
      <c r="V43" s="7"/>
      <c r="X43" s="7"/>
      <c r="Y43" s="7"/>
      <c r="Z43" s="7"/>
      <c r="AA43" s="7"/>
      <c r="AB43" s="7"/>
    </row>
    <row r="44" spans="2:28">
      <c r="C44" s="283" t="str">
        <f>nmProd2Offering1</f>
        <v>Azul Infrastructure</v>
      </c>
      <c r="E44" s="278">
        <f>tlInputEGProd2Offering1</f>
        <v>0</v>
      </c>
      <c r="F44" s="6" t="s">
        <v>756</v>
      </c>
      <c r="G44" s="7">
        <f>tlInputEGProd2Offering1</f>
        <v>0</v>
      </c>
      <c r="H44" s="7"/>
      <c r="I44" s="7"/>
      <c r="J44" s="279">
        <v>0</v>
      </c>
      <c r="L44" s="7"/>
      <c r="M44" s="7"/>
      <c r="N44" s="7"/>
      <c r="O44" s="7"/>
      <c r="P44" s="7"/>
      <c r="R44" s="7"/>
      <c r="S44" s="7"/>
      <c r="T44" s="7"/>
      <c r="U44" s="7"/>
      <c r="V44" s="7"/>
      <c r="X44" s="7"/>
      <c r="Y44" s="7"/>
      <c r="Z44" s="7"/>
      <c r="AA44" s="7"/>
      <c r="AB44" s="7"/>
    </row>
    <row r="45" spans="2:28">
      <c r="C45" s="283" t="str">
        <f>nmProd2Offering2</f>
        <v>Azul Data, Applications, and AI</v>
      </c>
      <c r="E45" s="278">
        <f>tlInputEGProd2Offering2</f>
        <v>0</v>
      </c>
      <c r="F45" s="6" t="s">
        <v>757</v>
      </c>
      <c r="G45" s="7">
        <f>tlInputEGProd2Offering2</f>
        <v>0</v>
      </c>
      <c r="H45" s="7"/>
      <c r="I45" s="7"/>
      <c r="J45" s="279">
        <v>0</v>
      </c>
      <c r="L45" s="7"/>
      <c r="M45" s="7"/>
      <c r="N45" s="7"/>
      <c r="O45" s="7"/>
      <c r="P45" s="7"/>
      <c r="R45" s="7"/>
      <c r="S45" s="7"/>
      <c r="T45" s="7"/>
      <c r="U45" s="7"/>
      <c r="V45" s="7"/>
      <c r="X45" s="7"/>
      <c r="Y45" s="7"/>
      <c r="Z45" s="7"/>
      <c r="AA45" s="7"/>
      <c r="AB45" s="7"/>
    </row>
    <row r="46" spans="2:28">
      <c r="F46" s="6"/>
      <c r="G46" s="7"/>
      <c r="H46" s="7"/>
      <c r="I46" s="7"/>
      <c r="J46" s="7"/>
      <c r="L46" s="7"/>
      <c r="M46" s="7"/>
      <c r="N46" s="7"/>
      <c r="O46" s="7"/>
      <c r="P46" s="7"/>
      <c r="R46" s="7"/>
      <c r="S46" s="7"/>
      <c r="T46" s="7"/>
      <c r="U46" s="7"/>
      <c r="V46" s="7"/>
      <c r="X46" s="7"/>
      <c r="Y46" s="7"/>
      <c r="Z46" s="7"/>
      <c r="AA46" s="7"/>
      <c r="AB46" s="7"/>
    </row>
    <row r="47" spans="2:28">
      <c r="B47" s="282" t="str">
        <f>nmProd3</f>
        <v>Personal Computing</v>
      </c>
      <c r="C47" s="282"/>
      <c r="F47" s="6"/>
      <c r="G47" s="7"/>
      <c r="H47" s="7"/>
      <c r="I47" s="7"/>
      <c r="J47" s="7"/>
      <c r="L47" s="7"/>
      <c r="M47" s="7"/>
      <c r="N47" s="7"/>
      <c r="O47" s="7"/>
      <c r="P47" s="7"/>
      <c r="R47" s="7"/>
      <c r="S47" s="7"/>
      <c r="T47" s="7"/>
      <c r="U47" s="7"/>
      <c r="V47" s="7"/>
      <c r="X47" s="7"/>
      <c r="Y47" s="7"/>
      <c r="Z47" s="7"/>
      <c r="AA47" s="7"/>
      <c r="AB47" s="7"/>
    </row>
    <row r="48" spans="2:28">
      <c r="C48" s="283" t="str">
        <f>nmProd3Offering1</f>
        <v>Doors OS</v>
      </c>
      <c r="E48" s="278">
        <f>tlInputEGProd3Offering1</f>
        <v>0</v>
      </c>
      <c r="F48" s="6" t="s">
        <v>758</v>
      </c>
      <c r="G48" s="7">
        <f>tlInputEGProd3Offering1</f>
        <v>0</v>
      </c>
      <c r="H48" s="7"/>
      <c r="I48" s="7"/>
      <c r="J48" s="279">
        <v>0</v>
      </c>
      <c r="L48" s="7"/>
      <c r="M48" s="7"/>
      <c r="N48" s="7"/>
      <c r="O48" s="7"/>
      <c r="P48" s="7"/>
      <c r="R48" s="7"/>
      <c r="S48" s="7"/>
      <c r="T48" s="7"/>
      <c r="U48" s="7"/>
      <c r="V48" s="7"/>
      <c r="X48" s="7"/>
      <c r="Y48" s="7"/>
      <c r="Z48" s="7"/>
      <c r="AA48" s="7"/>
      <c r="AB48" s="7"/>
    </row>
    <row r="49" spans="2:28">
      <c r="C49" s="283" t="str">
        <f>nmProd3Offering2</f>
        <v>Devices</v>
      </c>
      <c r="E49" s="278">
        <f>tlInputEGProd3Offering2</f>
        <v>0</v>
      </c>
      <c r="F49" s="6" t="s">
        <v>759</v>
      </c>
      <c r="G49" s="7">
        <f>tlInputEGProd3Offering2</f>
        <v>0</v>
      </c>
      <c r="H49" s="7"/>
      <c r="I49" s="7"/>
      <c r="J49" s="279">
        <v>0</v>
      </c>
      <c r="L49" s="7"/>
      <c r="M49" s="7"/>
      <c r="N49" s="7"/>
      <c r="O49" s="7"/>
      <c r="P49" s="7"/>
      <c r="R49" s="7"/>
      <c r="S49" s="7"/>
      <c r="T49" s="7"/>
      <c r="U49" s="7"/>
      <c r="V49" s="7"/>
      <c r="X49" s="7"/>
      <c r="Y49" s="7"/>
      <c r="Z49" s="7"/>
      <c r="AA49" s="7"/>
      <c r="AB49" s="7"/>
    </row>
    <row r="50" spans="2:28">
      <c r="F50" s="6"/>
      <c r="G50" s="7"/>
      <c r="H50" s="7"/>
      <c r="I50" s="7"/>
      <c r="J50" s="7"/>
      <c r="L50" s="7"/>
      <c r="M50" s="7"/>
      <c r="N50" s="7"/>
      <c r="O50" s="7"/>
      <c r="P50" s="7"/>
      <c r="R50" s="7"/>
      <c r="S50" s="7"/>
      <c r="T50" s="7"/>
      <c r="U50" s="7"/>
      <c r="V50" s="7"/>
      <c r="X50" s="7"/>
      <c r="Y50" s="7"/>
      <c r="Z50" s="7"/>
      <c r="AA50" s="7"/>
      <c r="AB50" s="7"/>
    </row>
    <row r="51" spans="2:28">
      <c r="B51" s="48" t="s">
        <v>494</v>
      </c>
      <c r="F51" s="6"/>
      <c r="G51" s="7"/>
      <c r="H51" s="7"/>
      <c r="I51" s="7"/>
      <c r="J51" s="7"/>
      <c r="L51" s="7"/>
      <c r="M51" s="7"/>
      <c r="N51" s="7"/>
      <c r="O51" s="7"/>
      <c r="P51" s="7"/>
      <c r="R51" s="7"/>
      <c r="S51" s="7"/>
      <c r="T51" s="7"/>
      <c r="U51" s="7"/>
      <c r="V51" s="7"/>
      <c r="X51" s="7"/>
      <c r="Y51" s="7"/>
      <c r="Z51" s="7"/>
      <c r="AA51" s="7"/>
      <c r="AB51" s="7"/>
    </row>
    <row r="52" spans="2:28">
      <c r="B52" s="282" t="s">
        <v>401</v>
      </c>
      <c r="C52" s="282"/>
      <c r="F52" s="6"/>
      <c r="G52" s="7"/>
      <c r="H52" s="7"/>
      <c r="I52" s="7"/>
      <c r="J52" s="7"/>
      <c r="L52" s="7"/>
      <c r="M52" s="7"/>
      <c r="N52" s="7"/>
      <c r="O52" s="7"/>
      <c r="P52" s="7"/>
      <c r="R52" s="7"/>
      <c r="S52" s="7"/>
      <c r="T52" s="7"/>
      <c r="U52" s="7"/>
      <c r="V52" s="7"/>
      <c r="X52" s="7"/>
      <c r="Y52" s="7"/>
      <c r="Z52" s="7"/>
      <c r="AA52" s="7"/>
      <c r="AB52" s="7"/>
    </row>
    <row r="53" spans="2:28">
      <c r="C53" s="6" t="str">
        <f>nmProd1Seg1&amp;" Share"</f>
        <v>Productivity &amp; Business Enterprise Share</v>
      </c>
      <c r="E53" s="280">
        <f>tlInputCommercialProd1Seg1Share</f>
        <v>9.0000000000000024E-2</v>
      </c>
      <c r="F53" s="6" t="s">
        <v>1524</v>
      </c>
      <c r="G53" s="281">
        <f>tlInputCommercialProd1Seg1Share</f>
        <v>9.0000000000000024E-2</v>
      </c>
      <c r="H53" s="7" t="b">
        <v>1</v>
      </c>
      <c r="I53" s="7" t="b">
        <v>1</v>
      </c>
      <c r="J53" s="139">
        <v>9.0000000000000024E-2</v>
      </c>
      <c r="L53" s="7"/>
      <c r="M53" s="7"/>
      <c r="N53" s="7"/>
      <c r="O53" s="7"/>
      <c r="P53" s="7"/>
      <c r="R53" s="7"/>
      <c r="S53" s="7"/>
      <c r="T53" s="7"/>
      <c r="U53" s="7"/>
      <c r="V53" s="7"/>
      <c r="X53" s="7"/>
      <c r="Y53" s="7"/>
      <c r="Z53" s="7"/>
      <c r="AA53" s="7"/>
      <c r="AB53" s="7"/>
    </row>
    <row r="54" spans="2:28">
      <c r="C54" s="6" t="str">
        <f>nmProd1Seg2&amp;" Share"</f>
        <v>Productivity &amp; Business SMC Share</v>
      </c>
      <c r="E54" s="280">
        <f>tlInputCommercialProd1Seg2Share</f>
        <v>9.0000000000000011E-2</v>
      </c>
      <c r="F54" s="6" t="s">
        <v>1525</v>
      </c>
      <c r="G54" s="281">
        <f>tlInputCommercialProd1Seg2Share</f>
        <v>9.0000000000000011E-2</v>
      </c>
      <c r="H54" s="7" t="b">
        <v>1</v>
      </c>
      <c r="I54" s="7" t="b">
        <v>1</v>
      </c>
      <c r="J54" s="139">
        <v>9.0000000000000011E-2</v>
      </c>
      <c r="L54" s="7"/>
      <c r="M54" s="7"/>
      <c r="N54" s="7"/>
      <c r="O54" s="7"/>
      <c r="P54" s="7"/>
      <c r="R54" s="7"/>
      <c r="S54" s="7"/>
      <c r="T54" s="7"/>
      <c r="U54" s="7"/>
      <c r="V54" s="7"/>
      <c r="X54" s="7"/>
      <c r="Y54" s="7"/>
      <c r="Z54" s="7"/>
      <c r="AA54" s="7"/>
      <c r="AB54" s="7"/>
    </row>
    <row r="55" spans="2:28">
      <c r="C55" s="6" t="str">
        <f>nmProd2Seg1&amp;" Share"</f>
        <v>Intelligent Cloud Enterprise Share</v>
      </c>
      <c r="E55" s="280">
        <f>tlInputCommercialProd2Seg1Share</f>
        <v>9.0000000000000024E-2</v>
      </c>
      <c r="F55" s="6" t="s">
        <v>1526</v>
      </c>
      <c r="G55" s="281">
        <f>tlInputCommercialProd2Seg1Share</f>
        <v>9.0000000000000024E-2</v>
      </c>
      <c r="H55" s="7" t="b">
        <v>1</v>
      </c>
      <c r="I55" s="7" t="b">
        <v>1</v>
      </c>
      <c r="J55" s="139">
        <v>9.0000000000000024E-2</v>
      </c>
      <c r="L55" s="7"/>
      <c r="M55" s="7"/>
      <c r="N55" s="7"/>
      <c r="O55" s="7"/>
      <c r="P55" s="7"/>
      <c r="R55" s="7"/>
      <c r="S55" s="7"/>
      <c r="T55" s="7"/>
      <c r="U55" s="7"/>
      <c r="V55" s="7"/>
      <c r="X55" s="7"/>
      <c r="Y55" s="7"/>
      <c r="Z55" s="7"/>
      <c r="AA55" s="7"/>
      <c r="AB55" s="7"/>
    </row>
    <row r="56" spans="2:28">
      <c r="C56" s="6" t="str">
        <f>nmProd2Seg2&amp;" Share"</f>
        <v>Intelligent Cloud SMC Share</v>
      </c>
      <c r="E56" s="280">
        <f>tlInputCommercialProd2Seg2Share</f>
        <v>9.0000000000000011E-2</v>
      </c>
      <c r="F56" s="6" t="s">
        <v>1527</v>
      </c>
      <c r="G56" s="281">
        <f>tlInputCommercialProd2Seg2Share</f>
        <v>9.0000000000000011E-2</v>
      </c>
      <c r="H56" s="7" t="b">
        <v>1</v>
      </c>
      <c r="I56" s="7" t="b">
        <v>1</v>
      </c>
      <c r="J56" s="139">
        <v>9.0000000000000011E-2</v>
      </c>
      <c r="L56" s="7"/>
      <c r="M56" s="7"/>
      <c r="N56" s="7"/>
      <c r="O56" s="7"/>
      <c r="P56" s="7"/>
      <c r="R56" s="7"/>
      <c r="S56" s="7"/>
      <c r="T56" s="7"/>
      <c r="U56" s="7"/>
      <c r="V56" s="7"/>
      <c r="X56" s="7"/>
      <c r="Y56" s="7"/>
      <c r="Z56" s="7"/>
      <c r="AA56" s="7"/>
      <c r="AB56" s="7"/>
    </row>
    <row r="57" spans="2:28">
      <c r="C57" s="6" t="str">
        <f>nmProd3Seg1&amp;" Share"</f>
        <v>Personal Computing Enterprise Share</v>
      </c>
      <c r="E57" s="280">
        <f>tlInputCommercialProd3Seg1Share</f>
        <v>9.0000000000000011E-2</v>
      </c>
      <c r="F57" s="6" t="s">
        <v>1528</v>
      </c>
      <c r="G57" s="281">
        <f>tlInputCommercialProd3Seg1Share</f>
        <v>9.0000000000000011E-2</v>
      </c>
      <c r="H57" s="7" t="b">
        <v>1</v>
      </c>
      <c r="I57" s="7" t="b">
        <v>1</v>
      </c>
      <c r="J57" s="139">
        <v>9.0000000000000011E-2</v>
      </c>
      <c r="L57" s="7"/>
      <c r="M57" s="7"/>
      <c r="N57" s="7"/>
      <c r="O57" s="7"/>
      <c r="P57" s="7"/>
      <c r="R57" s="7"/>
      <c r="S57" s="7"/>
      <c r="T57" s="7"/>
      <c r="U57" s="7"/>
      <c r="V57" s="7"/>
      <c r="X57" s="7"/>
      <c r="Y57" s="7"/>
      <c r="Z57" s="7"/>
      <c r="AA57" s="7"/>
      <c r="AB57" s="7"/>
    </row>
    <row r="58" spans="2:28">
      <c r="C58" s="6" t="str">
        <f>nmProd3Seg2&amp;" Share"</f>
        <v>Personal Computing SMC Share</v>
      </c>
      <c r="E58" s="280">
        <f>tlInputCommercialProd3Seg2Share</f>
        <v>9.0000000000000011E-2</v>
      </c>
      <c r="F58" s="6" t="s">
        <v>1529</v>
      </c>
      <c r="G58" s="281">
        <f>tlInputCommercialProd3Seg2Share</f>
        <v>9.0000000000000011E-2</v>
      </c>
      <c r="H58" s="7" t="b">
        <v>1</v>
      </c>
      <c r="I58" s="7" t="b">
        <v>1</v>
      </c>
      <c r="J58" s="139">
        <v>9.0000000000000011E-2</v>
      </c>
      <c r="L58" s="7"/>
      <c r="M58" s="7"/>
      <c r="N58" s="7"/>
      <c r="O58" s="7"/>
      <c r="P58" s="7"/>
      <c r="R58" s="7"/>
      <c r="S58" s="7"/>
      <c r="T58" s="7"/>
      <c r="U58" s="7"/>
      <c r="V58" s="7"/>
      <c r="X58" s="7"/>
      <c r="Y58" s="7"/>
      <c r="Z58" s="7"/>
      <c r="AA58" s="7"/>
      <c r="AB58" s="7"/>
    </row>
    <row r="59" spans="2:28">
      <c r="F59" s="6"/>
      <c r="G59" s="7"/>
      <c r="H59" s="7"/>
      <c r="I59" s="7"/>
      <c r="J59" s="7"/>
      <c r="L59" s="7"/>
      <c r="M59" s="7"/>
      <c r="N59" s="7"/>
      <c r="O59" s="7"/>
      <c r="P59" s="7"/>
      <c r="R59" s="7"/>
      <c r="S59" s="7"/>
      <c r="T59" s="7"/>
      <c r="U59" s="7"/>
      <c r="V59" s="7"/>
      <c r="X59" s="7"/>
      <c r="Y59" s="7"/>
      <c r="Z59" s="7"/>
      <c r="AA59" s="7"/>
      <c r="AB59" s="7"/>
    </row>
    <row r="60" spans="2:28">
      <c r="B60" s="282" t="s">
        <v>720</v>
      </c>
      <c r="C60" s="282"/>
      <c r="F60" s="6"/>
      <c r="G60" s="7"/>
      <c r="H60" s="7"/>
      <c r="I60" s="7"/>
      <c r="J60" s="7"/>
      <c r="L60" s="7"/>
      <c r="M60" s="7"/>
      <c r="N60" s="7"/>
      <c r="O60" s="7"/>
      <c r="P60" s="7"/>
      <c r="R60" s="7"/>
      <c r="S60" s="7"/>
      <c r="T60" s="7"/>
      <c r="U60" s="7"/>
      <c r="V60" s="7"/>
      <c r="X60" s="7"/>
      <c r="Y60" s="7"/>
      <c r="Z60" s="7"/>
      <c r="AA60" s="7"/>
      <c r="AB60" s="7"/>
    </row>
    <row r="61" spans="2:28">
      <c r="C61" s="283" t="str">
        <f>nmProd1&amp;" Pricing"</f>
        <v>Productivity &amp; Business Pricing</v>
      </c>
      <c r="E61" s="278">
        <f>tlInputCommercialProd1Price</f>
        <v>2</v>
      </c>
      <c r="F61" s="6" t="s">
        <v>3322</v>
      </c>
      <c r="G61" s="7">
        <f>tlInputCommercialProd1Price</f>
        <v>2</v>
      </c>
      <c r="H61" s="7"/>
      <c r="I61" s="7"/>
      <c r="J61" s="279">
        <v>2</v>
      </c>
      <c r="L61" s="7"/>
      <c r="M61" s="7"/>
      <c r="N61" s="7"/>
      <c r="O61" s="7"/>
      <c r="P61" s="7"/>
      <c r="R61" s="7"/>
      <c r="S61" s="7"/>
      <c r="T61" s="7"/>
      <c r="U61" s="7"/>
      <c r="V61" s="7"/>
      <c r="X61" s="7"/>
      <c r="Y61" s="7"/>
      <c r="Z61" s="7"/>
      <c r="AA61" s="7"/>
      <c r="AB61" s="7"/>
    </row>
    <row r="62" spans="2:28">
      <c r="C62" s="283" t="str">
        <f>nmProd2&amp;" Pricing"</f>
        <v>Intelligent Cloud Pricing</v>
      </c>
      <c r="E62" s="278">
        <f>tlInputCommercialProd2Price</f>
        <v>2</v>
      </c>
      <c r="F62" s="6" t="s">
        <v>3323</v>
      </c>
      <c r="G62" s="7">
        <f>tlInputCommercialProd2Price</f>
        <v>2</v>
      </c>
      <c r="H62" s="7"/>
      <c r="I62" s="7"/>
      <c r="J62" s="279">
        <v>2</v>
      </c>
      <c r="L62" s="7"/>
      <c r="M62" s="7"/>
      <c r="N62" s="7"/>
      <c r="O62" s="7"/>
      <c r="P62" s="7"/>
      <c r="R62" s="7"/>
      <c r="S62" s="7"/>
      <c r="T62" s="7"/>
      <c r="U62" s="7"/>
      <c r="V62" s="7"/>
      <c r="X62" s="7"/>
      <c r="Y62" s="7"/>
      <c r="Z62" s="7"/>
      <c r="AA62" s="7"/>
      <c r="AB62" s="7"/>
    </row>
    <row r="63" spans="2:28">
      <c r="C63" s="283" t="str">
        <f>nmProd3&amp;" Pricing"</f>
        <v>Personal Computing Pricing</v>
      </c>
      <c r="E63" s="278">
        <f>tlInputCommercialProd3Price</f>
        <v>2</v>
      </c>
      <c r="F63" s="6" t="s">
        <v>3324</v>
      </c>
      <c r="G63" s="7">
        <f>tlInputCommercialProd3Price</f>
        <v>2</v>
      </c>
      <c r="H63" s="7"/>
      <c r="I63" s="7"/>
      <c r="J63" s="279">
        <v>2</v>
      </c>
      <c r="L63" s="7"/>
      <c r="M63" s="7"/>
      <c r="N63" s="7"/>
      <c r="O63" s="7"/>
      <c r="P63" s="7"/>
      <c r="R63" s="7"/>
      <c r="S63" s="7"/>
      <c r="T63" s="7"/>
      <c r="U63" s="7"/>
      <c r="V63" s="7"/>
      <c r="X63" s="7"/>
      <c r="Y63" s="7"/>
      <c r="Z63" s="7"/>
      <c r="AA63" s="7"/>
      <c r="AB63" s="7"/>
    </row>
    <row r="64" spans="2:28">
      <c r="F64" s="6"/>
      <c r="G64" s="7"/>
      <c r="H64" s="7"/>
      <c r="I64" s="7"/>
      <c r="J64" s="7"/>
      <c r="L64" s="7"/>
      <c r="M64" s="7"/>
      <c r="N64" s="7"/>
      <c r="O64" s="7"/>
      <c r="P64" s="7"/>
      <c r="R64" s="7"/>
      <c r="S64" s="7"/>
      <c r="T64" s="7"/>
      <c r="U64" s="7"/>
      <c r="V64" s="7"/>
      <c r="X64" s="7"/>
      <c r="Y64" s="7"/>
      <c r="Z64" s="7"/>
      <c r="AA64" s="7"/>
      <c r="AB64" s="7"/>
    </row>
    <row r="65" spans="2:28">
      <c r="B65" s="282" t="s">
        <v>457</v>
      </c>
      <c r="C65" s="282"/>
      <c r="F65" s="6"/>
      <c r="G65" s="7"/>
      <c r="H65" s="7"/>
      <c r="I65" s="7"/>
      <c r="J65" s="7"/>
      <c r="L65" s="7"/>
      <c r="M65" s="7"/>
      <c r="N65" s="7"/>
      <c r="O65" s="7"/>
      <c r="P65" s="7"/>
      <c r="R65" s="7"/>
      <c r="S65" s="7"/>
      <c r="T65" s="7"/>
      <c r="U65" s="7"/>
      <c r="V65" s="7"/>
      <c r="X65" s="7"/>
      <c r="Y65" s="7"/>
      <c r="Z65" s="7"/>
      <c r="AA65" s="7"/>
      <c r="AB65" s="7"/>
    </row>
    <row r="66" spans="2:28">
      <c r="C66" s="283" t="str">
        <f>nmSkill1</f>
        <v>Technical Expertise</v>
      </c>
      <c r="E66" s="278">
        <f>tlInputCommercialSkill1</f>
        <v>0</v>
      </c>
      <c r="F66" s="6" t="s">
        <v>2605</v>
      </c>
      <c r="G66" s="7">
        <f>tlInputCommercialSkill1</f>
        <v>0</v>
      </c>
      <c r="H66" s="7"/>
      <c r="I66" s="7"/>
      <c r="J66" s="279">
        <v>0</v>
      </c>
      <c r="L66" s="7"/>
      <c r="M66" s="7"/>
      <c r="N66" s="7"/>
      <c r="O66" s="7"/>
      <c r="P66" s="7"/>
      <c r="R66" s="7"/>
      <c r="S66" s="7"/>
      <c r="T66" s="7"/>
      <c r="U66" s="7"/>
      <c r="V66" s="7"/>
      <c r="X66" s="7"/>
      <c r="Y66" s="7"/>
      <c r="Z66" s="7"/>
      <c r="AA66" s="7"/>
      <c r="AB66" s="7"/>
    </row>
    <row r="67" spans="2:28">
      <c r="C67" s="283" t="str">
        <f>nmSkill2</f>
        <v>Consultative Skills</v>
      </c>
      <c r="E67" s="278">
        <f>tlInputCommercialSkill2</f>
        <v>0</v>
      </c>
      <c r="F67" s="6" t="s">
        <v>2606</v>
      </c>
      <c r="G67" s="7">
        <f>tlInputCommercialSkill2</f>
        <v>0</v>
      </c>
      <c r="H67" s="7"/>
      <c r="I67" s="7"/>
      <c r="J67" s="279">
        <v>0</v>
      </c>
      <c r="L67" s="7"/>
      <c r="M67" s="7"/>
      <c r="N67" s="7"/>
      <c r="O67" s="7"/>
      <c r="P67" s="7"/>
      <c r="R67" s="7"/>
      <c r="S67" s="7"/>
      <c r="T67" s="7"/>
      <c r="U67" s="7"/>
      <c r="V67" s="7"/>
      <c r="X67" s="7"/>
      <c r="Y67" s="7"/>
      <c r="Z67" s="7"/>
      <c r="AA67" s="7"/>
      <c r="AB67" s="7"/>
    </row>
    <row r="68" spans="2:28">
      <c r="C68" s="283" t="str">
        <f>nmSkill3</f>
        <v>Industry Expertise</v>
      </c>
      <c r="E68" s="278">
        <f>tlInputCommercialSkill3</f>
        <v>0</v>
      </c>
      <c r="F68" s="6" t="s">
        <v>2607</v>
      </c>
      <c r="G68" s="7">
        <f>tlInputCommercialSkill3</f>
        <v>0</v>
      </c>
      <c r="H68" s="7"/>
      <c r="I68" s="7"/>
      <c r="J68" s="279">
        <v>0</v>
      </c>
      <c r="L68" s="7"/>
      <c r="M68" s="7"/>
      <c r="N68" s="7"/>
      <c r="O68" s="7"/>
      <c r="P68" s="7"/>
      <c r="R68" s="7"/>
      <c r="S68" s="7"/>
      <c r="T68" s="7"/>
      <c r="U68" s="7"/>
      <c r="V68" s="7"/>
      <c r="X68" s="7"/>
      <c r="Y68" s="7"/>
      <c r="Z68" s="7"/>
      <c r="AA68" s="7"/>
      <c r="AB68" s="7"/>
    </row>
    <row r="69" spans="2:28">
      <c r="F69" s="6"/>
      <c r="G69" s="7"/>
      <c r="H69" s="7"/>
      <c r="I69" s="7"/>
      <c r="J69" s="7"/>
      <c r="L69" s="7"/>
      <c r="M69" s="7"/>
      <c r="N69" s="7"/>
      <c r="O69" s="7"/>
      <c r="P69" s="7"/>
      <c r="R69" s="7"/>
      <c r="S69" s="7"/>
      <c r="T69" s="7"/>
      <c r="U69" s="7"/>
      <c r="V69" s="7"/>
      <c r="X69" s="7"/>
      <c r="Y69" s="7"/>
      <c r="Z69" s="7"/>
      <c r="AA69" s="7"/>
      <c r="AB69" s="7"/>
    </row>
    <row r="70" spans="2:28">
      <c r="B70" s="282" t="s">
        <v>417</v>
      </c>
      <c r="C70" s="282"/>
      <c r="F70" s="6"/>
      <c r="G70" s="7"/>
      <c r="H70" s="7"/>
      <c r="I70" s="7"/>
      <c r="J70" s="7"/>
      <c r="L70" s="7"/>
      <c r="M70" s="7"/>
      <c r="N70" s="7"/>
      <c r="O70" s="7"/>
      <c r="P70" s="7"/>
      <c r="R70" s="7"/>
      <c r="S70" s="7"/>
      <c r="T70" s="7"/>
      <c r="U70" s="7"/>
      <c r="V70" s="7"/>
      <c r="X70" s="7"/>
      <c r="Y70" s="7"/>
      <c r="Z70" s="7"/>
      <c r="AA70" s="7"/>
      <c r="AB70" s="7"/>
    </row>
    <row r="71" spans="2:28">
      <c r="C71" s="283" t="s">
        <v>420</v>
      </c>
      <c r="E71" s="278">
        <f>tlInputCommercialDirectSalesFTEs</f>
        <v>250</v>
      </c>
      <c r="F71" s="6" t="s">
        <v>1123</v>
      </c>
      <c r="G71" s="7">
        <f>tlInputCommercialDirectSalesFTEs</f>
        <v>250</v>
      </c>
      <c r="H71" s="7"/>
      <c r="I71" s="7"/>
      <c r="J71" s="279">
        <v>250</v>
      </c>
      <c r="L71" s="7"/>
      <c r="M71" s="7"/>
      <c r="N71" s="7"/>
      <c r="O71" s="7"/>
      <c r="P71" s="7"/>
      <c r="R71" s="7"/>
      <c r="S71" s="7"/>
      <c r="T71" s="7"/>
      <c r="U71" s="7"/>
      <c r="V71" s="7"/>
      <c r="X71" s="7"/>
      <c r="Y71" s="7"/>
      <c r="Z71" s="7"/>
      <c r="AA71" s="7"/>
      <c r="AB71" s="7"/>
    </row>
    <row r="72" spans="2:28">
      <c r="C72" s="283" t="s">
        <v>421</v>
      </c>
      <c r="E72" s="278">
        <f>tlInputCommercialInsideSalesFTEs</f>
        <v>125</v>
      </c>
      <c r="F72" s="6" t="s">
        <v>1124</v>
      </c>
      <c r="G72" s="7">
        <f>tlInputCommercialInsideSalesFTEs</f>
        <v>125</v>
      </c>
      <c r="H72" s="7"/>
      <c r="I72" s="7"/>
      <c r="J72" s="279">
        <v>125</v>
      </c>
      <c r="L72" s="7"/>
      <c r="M72" s="7"/>
      <c r="N72" s="7"/>
      <c r="O72" s="7"/>
      <c r="P72" s="7"/>
      <c r="R72" s="7"/>
      <c r="S72" s="7"/>
      <c r="T72" s="7"/>
      <c r="U72" s="7"/>
      <c r="V72" s="7"/>
      <c r="X72" s="7"/>
      <c r="Y72" s="7"/>
      <c r="Z72" s="7"/>
      <c r="AA72" s="7"/>
      <c r="AB72" s="7"/>
    </row>
    <row r="73" spans="2:28">
      <c r="C73" s="283" t="s">
        <v>422</v>
      </c>
      <c r="E73" s="278">
        <f>tlInputCommercialServicesFTEs</f>
        <v>90</v>
      </c>
      <c r="F73" s="6" t="s">
        <v>2516</v>
      </c>
      <c r="G73" s="7">
        <f>tlInputCommercialServicesFTEs</f>
        <v>90</v>
      </c>
      <c r="H73" s="7"/>
      <c r="I73" s="7"/>
      <c r="J73" s="279">
        <v>90</v>
      </c>
      <c r="L73" s="7"/>
      <c r="M73" s="7"/>
      <c r="N73" s="7"/>
      <c r="O73" s="7"/>
      <c r="P73" s="7"/>
      <c r="R73" s="7"/>
      <c r="S73" s="7"/>
      <c r="T73" s="7"/>
      <c r="U73" s="7"/>
      <c r="V73" s="7"/>
      <c r="X73" s="7"/>
      <c r="Y73" s="7"/>
      <c r="Z73" s="7"/>
      <c r="AA73" s="7"/>
      <c r="AB73" s="7"/>
    </row>
    <row r="74" spans="2:28">
      <c r="F74" s="6"/>
      <c r="G74" s="7"/>
      <c r="H74" s="7"/>
      <c r="I74" s="7"/>
      <c r="J74" s="7"/>
      <c r="L74" s="7"/>
      <c r="M74" s="7"/>
      <c r="N74" s="7"/>
      <c r="O74" s="7"/>
      <c r="P74" s="7"/>
      <c r="R74" s="7"/>
      <c r="S74" s="7"/>
      <c r="T74" s="7"/>
      <c r="U74" s="7"/>
      <c r="V74" s="7"/>
      <c r="X74" s="7"/>
      <c r="Y74" s="7"/>
      <c r="Z74" s="7"/>
      <c r="AA74" s="7"/>
      <c r="AB74" s="7"/>
    </row>
    <row r="75" spans="2:28">
      <c r="B75" s="282" t="s">
        <v>424</v>
      </c>
      <c r="C75" s="282"/>
      <c r="F75" s="6"/>
      <c r="G75" s="7"/>
      <c r="H75" s="7"/>
      <c r="I75" s="7"/>
      <c r="J75" s="7"/>
      <c r="L75" s="7"/>
      <c r="M75" s="7"/>
      <c r="N75" s="7"/>
      <c r="O75" s="7"/>
      <c r="P75" s="7"/>
      <c r="R75" s="7"/>
      <c r="S75" s="7"/>
      <c r="T75" s="7"/>
      <c r="U75" s="7"/>
      <c r="V75" s="7"/>
      <c r="X75" s="7"/>
      <c r="Y75" s="7"/>
      <c r="Z75" s="7"/>
      <c r="AA75" s="7"/>
      <c r="AB75" s="7"/>
    </row>
    <row r="76" spans="2:28">
      <c r="C76" s="283" t="s">
        <v>495</v>
      </c>
      <c r="E76" s="278">
        <f>tlInputCommercialPartnerDevelopment</f>
        <v>0</v>
      </c>
      <c r="F76" s="6" t="s">
        <v>1134</v>
      </c>
      <c r="G76" s="7">
        <f>tlInputCommercialPartnerDevelopment</f>
        <v>0</v>
      </c>
      <c r="H76" s="7"/>
      <c r="I76" s="7"/>
      <c r="J76" s="279">
        <v>0</v>
      </c>
      <c r="L76" s="7"/>
      <c r="M76" s="7"/>
      <c r="N76" s="7"/>
      <c r="O76" s="7"/>
      <c r="P76" s="7"/>
      <c r="R76" s="7"/>
      <c r="S76" s="7"/>
      <c r="T76" s="7"/>
      <c r="U76" s="7"/>
      <c r="V76" s="7"/>
      <c r="X76" s="7"/>
      <c r="Y76" s="7"/>
      <c r="Z76" s="7"/>
      <c r="AA76" s="7"/>
      <c r="AB76" s="7"/>
    </row>
    <row r="77" spans="2:28">
      <c r="C77" s="283" t="s">
        <v>426</v>
      </c>
      <c r="E77" s="278">
        <f>tlInputCommercialPartnerIncentives</f>
        <v>0</v>
      </c>
      <c r="F77" s="6" t="s">
        <v>1135</v>
      </c>
      <c r="G77" s="7">
        <f>tlInputCommercialPartnerIncentives</f>
        <v>0</v>
      </c>
      <c r="H77" s="7"/>
      <c r="I77" s="7"/>
      <c r="J77" s="279">
        <v>0</v>
      </c>
      <c r="L77" s="7"/>
      <c r="M77" s="7"/>
      <c r="N77" s="7"/>
      <c r="O77" s="7"/>
      <c r="P77" s="7"/>
      <c r="R77" s="7"/>
      <c r="S77" s="7"/>
      <c r="T77" s="7"/>
      <c r="U77" s="7"/>
      <c r="V77" s="7"/>
      <c r="X77" s="7"/>
      <c r="Y77" s="7"/>
      <c r="Z77" s="7"/>
      <c r="AA77" s="7"/>
      <c r="AB77" s="7"/>
    </row>
    <row r="78" spans="2:28">
      <c r="C78" s="283" t="s">
        <v>425</v>
      </c>
      <c r="E78" s="278">
        <f>tlInputCommercialPartnerEducation</f>
        <v>0</v>
      </c>
      <c r="F78" s="6" t="s">
        <v>1136</v>
      </c>
      <c r="G78" s="7">
        <f>tlInputCommercialPartnerEducation</f>
        <v>0</v>
      </c>
      <c r="H78" s="7"/>
      <c r="I78" s="7"/>
      <c r="J78" s="279">
        <v>0</v>
      </c>
      <c r="L78" s="7"/>
      <c r="M78" s="7"/>
      <c r="N78" s="7"/>
      <c r="O78" s="7"/>
      <c r="P78" s="7"/>
      <c r="R78" s="7"/>
      <c r="S78" s="7"/>
      <c r="T78" s="7"/>
      <c r="U78" s="7"/>
      <c r="V78" s="7"/>
      <c r="X78" s="7"/>
      <c r="Y78" s="7"/>
      <c r="Z78" s="7"/>
      <c r="AA78" s="7"/>
      <c r="AB78" s="7"/>
    </row>
    <row r="79" spans="2:28">
      <c r="F79" s="6"/>
      <c r="G79" s="7"/>
      <c r="H79" s="7"/>
      <c r="I79" s="7"/>
      <c r="J79" s="7"/>
      <c r="L79" s="7"/>
      <c r="M79" s="7"/>
      <c r="N79" s="7"/>
      <c r="O79" s="7"/>
      <c r="P79" s="7"/>
      <c r="R79" s="7"/>
      <c r="S79" s="7"/>
      <c r="T79" s="7"/>
      <c r="U79" s="7"/>
      <c r="V79" s="7"/>
      <c r="X79" s="7"/>
      <c r="Y79" s="7"/>
      <c r="Z79" s="7"/>
      <c r="AA79" s="7"/>
      <c r="AB79" s="7"/>
    </row>
    <row r="80" spans="2:28">
      <c r="C80" s="283" t="str">
        <f>nmPartner1</f>
        <v>ISV</v>
      </c>
      <c r="E80" s="280">
        <f>tlInputCommercialPartner1Pct</f>
        <v>0.25</v>
      </c>
      <c r="F80" s="6" t="s">
        <v>1125</v>
      </c>
      <c r="G80" s="281">
        <f>tlInputCommercialPartner1Pct</f>
        <v>0.25</v>
      </c>
      <c r="H80" s="7"/>
      <c r="I80" s="7"/>
      <c r="J80" s="139">
        <v>0.25</v>
      </c>
      <c r="L80" s="7"/>
      <c r="M80" s="7"/>
      <c r="N80" s="7"/>
      <c r="O80" s="7"/>
      <c r="P80" s="7"/>
      <c r="R80" s="7"/>
      <c r="S80" s="7"/>
      <c r="T80" s="7"/>
      <c r="U80" s="7"/>
      <c r="V80" s="7"/>
      <c r="X80" s="7"/>
      <c r="Y80" s="7"/>
      <c r="Z80" s="7"/>
      <c r="AA80" s="7"/>
      <c r="AB80" s="7"/>
    </row>
    <row r="81" spans="2:28">
      <c r="C81" s="283" t="str">
        <f>nmPartner2</f>
        <v>Systems Integrators</v>
      </c>
      <c r="E81" s="280">
        <f>tlInputCommercialPartner2Pct</f>
        <v>0.2</v>
      </c>
      <c r="F81" s="6" t="s">
        <v>1126</v>
      </c>
      <c r="G81" s="281">
        <f>tlInputCommercialPartner2Pct</f>
        <v>0.2</v>
      </c>
      <c r="H81" s="7"/>
      <c r="I81" s="7"/>
      <c r="J81" s="139">
        <v>0.2</v>
      </c>
      <c r="L81" s="7"/>
      <c r="M81" s="7"/>
      <c r="N81" s="7"/>
      <c r="O81" s="7"/>
      <c r="P81" s="7"/>
      <c r="R81" s="7"/>
      <c r="S81" s="7"/>
      <c r="T81" s="7"/>
      <c r="U81" s="7"/>
      <c r="V81" s="7"/>
      <c r="X81" s="7"/>
      <c r="Y81" s="7"/>
      <c r="Z81" s="7"/>
      <c r="AA81" s="7"/>
      <c r="AB81" s="7"/>
    </row>
    <row r="82" spans="2:28">
      <c r="C82" s="283" t="str">
        <f>nmPartner3</f>
        <v>Managed Services</v>
      </c>
      <c r="E82" s="280">
        <f>tlInputCommercialPartner3Pct</f>
        <v>0.22</v>
      </c>
      <c r="F82" s="6" t="s">
        <v>1127</v>
      </c>
      <c r="G82" s="281">
        <f>tlInputCommercialPartner3Pct</f>
        <v>0.22</v>
      </c>
      <c r="H82" s="7"/>
      <c r="I82" s="7"/>
      <c r="J82" s="139">
        <v>0.22</v>
      </c>
      <c r="L82" s="7"/>
      <c r="M82" s="7"/>
      <c r="N82" s="7"/>
      <c r="O82" s="7"/>
      <c r="P82" s="7"/>
      <c r="R82" s="7"/>
      <c r="S82" s="7"/>
      <c r="T82" s="7"/>
      <c r="U82" s="7"/>
      <c r="V82" s="7"/>
      <c r="X82" s="7"/>
      <c r="Y82" s="7"/>
      <c r="Z82" s="7"/>
      <c r="AA82" s="7"/>
      <c r="AB82" s="7"/>
    </row>
    <row r="83" spans="2:28">
      <c r="C83" s="283" t="str">
        <f>nmPartner4</f>
        <v>Channels</v>
      </c>
      <c r="E83" s="280">
        <f>1-tlInputCommercialPartner1Pct-tlInputCommercialPartner2Pct-tlInputCommercialPartner3Pct</f>
        <v>0.33000000000000007</v>
      </c>
      <c r="F83" s="6" t="s">
        <v>3325</v>
      </c>
      <c r="G83" s="281">
        <f>1-tlInputCommercialPartner1Pct-tlInputCommercialPartner2Pct-tlInputCommercialPartner3Pct</f>
        <v>0.33000000000000007</v>
      </c>
      <c r="H83" s="7"/>
      <c r="I83" s="7"/>
      <c r="J83" s="139">
        <v>0.33000000000000007</v>
      </c>
      <c r="L83" s="7"/>
      <c r="M83" s="7"/>
      <c r="N83" s="7"/>
      <c r="O83" s="7"/>
      <c r="P83" s="7"/>
      <c r="R83" s="7"/>
      <c r="S83" s="7"/>
      <c r="T83" s="7"/>
      <c r="U83" s="7"/>
      <c r="V83" s="7"/>
      <c r="X83" s="7"/>
      <c r="Y83" s="7"/>
      <c r="Z83" s="7"/>
      <c r="AA83" s="7"/>
      <c r="AB83" s="7"/>
    </row>
    <row r="84" spans="2:28">
      <c r="F84" s="6"/>
      <c r="G84" s="7"/>
      <c r="H84" s="7"/>
      <c r="I84" s="7"/>
      <c r="J84" s="7"/>
      <c r="L84" s="7"/>
      <c r="M84" s="7"/>
      <c r="N84" s="7"/>
      <c r="O84" s="7"/>
      <c r="P84" s="7"/>
      <c r="R84" s="7"/>
      <c r="S84" s="7"/>
      <c r="T84" s="7"/>
      <c r="U84" s="7"/>
      <c r="V84" s="7"/>
      <c r="X84" s="7"/>
      <c r="Y84" s="7"/>
      <c r="Z84" s="7"/>
      <c r="AA84" s="7"/>
      <c r="AB84" s="7"/>
    </row>
    <row r="85" spans="2:28">
      <c r="B85" s="282" t="s">
        <v>492</v>
      </c>
      <c r="C85" s="282"/>
      <c r="F85" s="6"/>
      <c r="G85" s="7"/>
      <c r="H85" s="7"/>
      <c r="I85" s="7"/>
      <c r="J85" s="7"/>
      <c r="L85" s="7"/>
      <c r="M85" s="7"/>
      <c r="N85" s="7"/>
      <c r="O85" s="7"/>
      <c r="P85" s="7"/>
      <c r="R85" s="7"/>
      <c r="S85" s="7"/>
      <c r="T85" s="7"/>
      <c r="U85" s="7"/>
      <c r="V85" s="7"/>
      <c r="X85" s="7"/>
      <c r="Y85" s="7"/>
      <c r="Z85" s="7"/>
      <c r="AA85" s="7"/>
      <c r="AB85" s="7"/>
    </row>
    <row r="86" spans="2:28">
      <c r="C86" s="283" t="s">
        <v>419</v>
      </c>
      <c r="E86" s="280">
        <f>tlInputCommercialCloudMigration</f>
        <v>0</v>
      </c>
      <c r="F86" s="6" t="s">
        <v>3326</v>
      </c>
      <c r="G86" s="281">
        <f>tlInputCommercialCloudMigration</f>
        <v>0</v>
      </c>
      <c r="H86" s="7"/>
      <c r="I86" s="7"/>
      <c r="J86" s="279">
        <v>0</v>
      </c>
      <c r="L86" s="7"/>
      <c r="M86" s="7"/>
      <c r="N86" s="7"/>
      <c r="O86" s="7"/>
      <c r="P86" s="7"/>
      <c r="R86" s="7"/>
      <c r="S86" s="7"/>
      <c r="T86" s="7"/>
      <c r="U86" s="7"/>
      <c r="V86" s="7"/>
      <c r="X86" s="7"/>
      <c r="Y86" s="7"/>
      <c r="Z86" s="7"/>
      <c r="AA86" s="7"/>
      <c r="AB86" s="7"/>
    </row>
    <row r="87" spans="2:28">
      <c r="F87" s="6"/>
      <c r="G87" s="7"/>
      <c r="H87" s="7"/>
      <c r="I87" s="7"/>
      <c r="J87" s="7"/>
      <c r="L87" s="7"/>
      <c r="M87" s="7"/>
      <c r="N87" s="7"/>
      <c r="O87" s="7"/>
      <c r="P87" s="7"/>
      <c r="R87" s="7"/>
      <c r="S87" s="7"/>
      <c r="T87" s="7"/>
      <c r="U87" s="7"/>
      <c r="V87" s="7"/>
      <c r="X87" s="7"/>
      <c r="Y87" s="7"/>
      <c r="Z87" s="7"/>
      <c r="AA87" s="7"/>
      <c r="AB87" s="7"/>
    </row>
    <row r="88" spans="2:28">
      <c r="B88" s="48" t="s">
        <v>365</v>
      </c>
      <c r="F88" s="6"/>
      <c r="G88" s="7"/>
      <c r="H88" s="7"/>
      <c r="I88" s="7"/>
      <c r="J88" s="7"/>
      <c r="L88" s="7"/>
      <c r="M88" s="7"/>
      <c r="N88" s="7"/>
      <c r="O88" s="7"/>
      <c r="P88" s="7"/>
      <c r="R88" s="7"/>
      <c r="S88" s="7"/>
      <c r="T88" s="7"/>
      <c r="U88" s="7"/>
      <c r="V88" s="7"/>
      <c r="X88" s="7"/>
      <c r="Y88" s="7"/>
      <c r="Z88" s="7"/>
      <c r="AA88" s="7"/>
      <c r="AB88" s="7"/>
    </row>
    <row r="89" spans="2:28">
      <c r="B89" s="282" t="s">
        <v>1532</v>
      </c>
      <c r="C89" s="282"/>
      <c r="F89" s="6"/>
      <c r="G89" s="7"/>
      <c r="H89" s="7"/>
      <c r="I89" s="7"/>
      <c r="J89" s="7"/>
      <c r="L89" s="7"/>
      <c r="M89" s="7"/>
      <c r="N89" s="7"/>
      <c r="O89" s="7"/>
      <c r="P89" s="7"/>
      <c r="R89" s="7"/>
      <c r="S89" s="7"/>
      <c r="T89" s="7"/>
      <c r="U89" s="7"/>
      <c r="V89" s="7"/>
      <c r="X89" s="7"/>
      <c r="Y89" s="7"/>
      <c r="Z89" s="7"/>
      <c r="AA89" s="7"/>
      <c r="AB89" s="7"/>
    </row>
    <row r="90" spans="2:28">
      <c r="C90" s="6" t="str">
        <f>nmProd1Seg3&amp;" Share"</f>
        <v>Productivity &amp; Business Consumer Share</v>
      </c>
      <c r="E90" s="280">
        <f>tlInputConsumerProd1Seg3Share</f>
        <v>9.0000000000000011E-2</v>
      </c>
      <c r="F90" s="6" t="s">
        <v>1530</v>
      </c>
      <c r="G90" s="281">
        <f>tlInputConsumerProd1Seg3Share</f>
        <v>9.0000000000000011E-2</v>
      </c>
      <c r="H90" s="7" t="b">
        <v>1</v>
      </c>
      <c r="I90" s="7" t="b">
        <v>1</v>
      </c>
      <c r="J90" s="139">
        <v>9.0000000000000011E-2</v>
      </c>
      <c r="L90" s="7"/>
      <c r="M90" s="7"/>
      <c r="N90" s="7"/>
      <c r="O90" s="7"/>
      <c r="P90" s="7"/>
      <c r="R90" s="7"/>
      <c r="S90" s="7"/>
      <c r="T90" s="7"/>
      <c r="U90" s="7"/>
      <c r="V90" s="7"/>
      <c r="X90" s="7"/>
      <c r="Y90" s="7"/>
      <c r="Z90" s="7"/>
      <c r="AA90" s="7"/>
      <c r="AB90" s="7"/>
    </row>
    <row r="91" spans="2:28">
      <c r="C91" s="6" t="str">
        <f>nmProd3Seg3&amp;" Share"</f>
        <v>Personal Computing Consumer Share</v>
      </c>
      <c r="E91" s="280">
        <f>tlInputConsumerProd3Seg3Share</f>
        <v>9.0000000000000011E-2</v>
      </c>
      <c r="F91" s="6" t="s">
        <v>1531</v>
      </c>
      <c r="G91" s="281">
        <f>tlInputConsumerProd3Seg3Share</f>
        <v>9.0000000000000011E-2</v>
      </c>
      <c r="H91" s="7" t="b">
        <v>1</v>
      </c>
      <c r="I91" s="7" t="b">
        <v>1</v>
      </c>
      <c r="J91" s="139">
        <v>9.0000000000000011E-2</v>
      </c>
      <c r="L91" s="7"/>
      <c r="M91" s="7"/>
      <c r="N91" s="7"/>
      <c r="O91" s="7"/>
      <c r="P91" s="7"/>
      <c r="R91" s="7"/>
      <c r="S91" s="7"/>
      <c r="T91" s="7"/>
      <c r="U91" s="7"/>
      <c r="V91" s="7"/>
      <c r="X91" s="7"/>
      <c r="Y91" s="7"/>
      <c r="Z91" s="7"/>
      <c r="AA91" s="7"/>
      <c r="AB91" s="7"/>
    </row>
    <row r="92" spans="2:28">
      <c r="F92" s="6"/>
      <c r="G92" s="7"/>
      <c r="H92" s="7"/>
      <c r="I92" s="7"/>
      <c r="J92" s="7"/>
      <c r="L92" s="7"/>
      <c r="M92" s="7"/>
      <c r="N92" s="7"/>
      <c r="O92" s="7"/>
      <c r="P92" s="7"/>
      <c r="R92" s="7"/>
      <c r="S92" s="7"/>
      <c r="T92" s="7"/>
      <c r="U92" s="7"/>
      <c r="V92" s="7"/>
      <c r="X92" s="7"/>
      <c r="Y92" s="7"/>
      <c r="Z92" s="7"/>
      <c r="AA92" s="7"/>
      <c r="AB92" s="7"/>
    </row>
    <row r="93" spans="2:28">
      <c r="B93" s="282" t="s">
        <v>720</v>
      </c>
      <c r="C93" s="282"/>
      <c r="F93" s="6"/>
      <c r="G93" s="7"/>
      <c r="H93" s="7"/>
      <c r="I93" s="7"/>
      <c r="J93" s="7"/>
      <c r="L93" s="7"/>
      <c r="M93" s="7"/>
      <c r="N93" s="7"/>
      <c r="O93" s="7"/>
      <c r="P93" s="7"/>
      <c r="R93" s="7"/>
      <c r="S93" s="7"/>
      <c r="T93" s="7"/>
      <c r="U93" s="7"/>
      <c r="V93" s="7"/>
      <c r="X93" s="7"/>
      <c r="Y93" s="7"/>
      <c r="Z93" s="7"/>
      <c r="AA93" s="7"/>
      <c r="AB93" s="7"/>
    </row>
    <row r="94" spans="2:28">
      <c r="C94" s="283" t="str">
        <f>nmProd1&amp;" Pricing"</f>
        <v>Productivity &amp; Business Pricing</v>
      </c>
      <c r="E94" s="278">
        <f>tlInputConsumerProd1Price</f>
        <v>2</v>
      </c>
      <c r="F94" s="6" t="s">
        <v>3327</v>
      </c>
      <c r="G94" s="7">
        <f>tlInputConsumerProd1Price</f>
        <v>2</v>
      </c>
      <c r="H94" s="7"/>
      <c r="I94" s="7"/>
      <c r="J94" s="279">
        <v>2</v>
      </c>
      <c r="L94" s="7"/>
      <c r="M94" s="7"/>
      <c r="N94" s="7"/>
      <c r="O94" s="7"/>
      <c r="P94" s="7"/>
      <c r="R94" s="7"/>
      <c r="S94" s="7"/>
      <c r="T94" s="7"/>
      <c r="U94" s="7"/>
      <c r="V94" s="7"/>
      <c r="X94" s="7"/>
      <c r="Y94" s="7"/>
      <c r="Z94" s="7"/>
      <c r="AA94" s="7"/>
      <c r="AB94" s="7"/>
    </row>
    <row r="95" spans="2:28">
      <c r="C95" s="283" t="str">
        <f>nmProd3&amp;" Pricing"</f>
        <v>Personal Computing Pricing</v>
      </c>
      <c r="E95" s="278">
        <f>tlInputConsumerProd3Price</f>
        <v>2</v>
      </c>
      <c r="F95" s="6" t="s">
        <v>3328</v>
      </c>
      <c r="G95" s="7">
        <f>tlInputConsumerProd3Price</f>
        <v>2</v>
      </c>
      <c r="H95" s="7"/>
      <c r="I95" s="7"/>
      <c r="J95" s="279">
        <v>2</v>
      </c>
      <c r="L95" s="7"/>
      <c r="M95" s="7"/>
      <c r="N95" s="7"/>
      <c r="O95" s="7"/>
      <c r="P95" s="7"/>
      <c r="R95" s="7"/>
      <c r="S95" s="7"/>
      <c r="T95" s="7"/>
      <c r="U95" s="7"/>
      <c r="V95" s="7"/>
      <c r="X95" s="7"/>
      <c r="Y95" s="7"/>
      <c r="Z95" s="7"/>
      <c r="AA95" s="7"/>
      <c r="AB95" s="7"/>
    </row>
    <row r="96" spans="2:28">
      <c r="F96" s="6"/>
      <c r="G96" s="7"/>
      <c r="H96" s="7"/>
      <c r="I96" s="7"/>
      <c r="J96" s="7"/>
      <c r="L96" s="7"/>
      <c r="M96" s="7"/>
      <c r="N96" s="7"/>
      <c r="O96" s="7"/>
      <c r="P96" s="7"/>
      <c r="R96" s="7"/>
      <c r="S96" s="7"/>
      <c r="T96" s="7"/>
      <c r="U96" s="7"/>
      <c r="V96" s="7"/>
      <c r="X96" s="7"/>
      <c r="Y96" s="7"/>
      <c r="Z96" s="7"/>
      <c r="AA96" s="7"/>
      <c r="AB96" s="7"/>
    </row>
    <row r="97" spans="2:28">
      <c r="B97" s="282" t="s">
        <v>457</v>
      </c>
      <c r="C97" s="282"/>
      <c r="F97" s="6"/>
      <c r="G97" s="7"/>
      <c r="H97" s="7"/>
      <c r="I97" s="7"/>
      <c r="J97" s="7"/>
      <c r="L97" s="7"/>
      <c r="M97" s="7"/>
      <c r="N97" s="7"/>
      <c r="O97" s="7"/>
      <c r="P97" s="7"/>
      <c r="R97" s="7"/>
      <c r="S97" s="7"/>
      <c r="T97" s="7"/>
      <c r="U97" s="7"/>
      <c r="V97" s="7"/>
      <c r="X97" s="7"/>
      <c r="Y97" s="7"/>
      <c r="Z97" s="7"/>
      <c r="AA97" s="7"/>
      <c r="AB97" s="7"/>
    </row>
    <row r="98" spans="2:28">
      <c r="C98" s="283" t="str">
        <f>nmSkill1</f>
        <v>Technical Expertise</v>
      </c>
      <c r="E98" s="278">
        <f>tlInputConsumerSkill1</f>
        <v>0</v>
      </c>
      <c r="F98" s="6" t="s">
        <v>2608</v>
      </c>
      <c r="G98" s="7">
        <f>tlInputConsumerSkill1</f>
        <v>0</v>
      </c>
      <c r="H98" s="7"/>
      <c r="I98" s="7"/>
      <c r="J98" s="279">
        <v>0</v>
      </c>
      <c r="L98" s="7"/>
      <c r="M98" s="7"/>
      <c r="N98" s="7"/>
      <c r="O98" s="7"/>
      <c r="P98" s="7"/>
      <c r="R98" s="7"/>
      <c r="S98" s="7"/>
      <c r="T98" s="7"/>
      <c r="U98" s="7"/>
      <c r="V98" s="7"/>
      <c r="X98" s="7"/>
      <c r="Y98" s="7"/>
      <c r="Z98" s="7"/>
      <c r="AA98" s="7"/>
      <c r="AB98" s="7"/>
    </row>
    <row r="99" spans="2:28">
      <c r="C99" s="283" t="str">
        <f>nmSkill2</f>
        <v>Consultative Skills</v>
      </c>
      <c r="E99" s="278">
        <f>tlInputConsumerSkill2</f>
        <v>0</v>
      </c>
      <c r="F99" s="6" t="s">
        <v>2609</v>
      </c>
      <c r="G99" s="7">
        <f>tlInputConsumerSkill2</f>
        <v>0</v>
      </c>
      <c r="H99" s="7"/>
      <c r="I99" s="7"/>
      <c r="J99" s="279">
        <v>0</v>
      </c>
      <c r="L99" s="7"/>
      <c r="M99" s="7"/>
      <c r="N99" s="7"/>
      <c r="O99" s="7"/>
      <c r="P99" s="7"/>
      <c r="R99" s="7"/>
      <c r="S99" s="7"/>
      <c r="T99" s="7"/>
      <c r="U99" s="7"/>
      <c r="V99" s="7"/>
      <c r="X99" s="7"/>
      <c r="Y99" s="7"/>
      <c r="Z99" s="7"/>
      <c r="AA99" s="7"/>
      <c r="AB99" s="7"/>
    </row>
    <row r="100" spans="2:28">
      <c r="C100" s="283"/>
      <c r="D100" s="283"/>
      <c r="E100" s="283"/>
      <c r="F100" s="283"/>
      <c r="G100" s="7"/>
      <c r="H100" s="7"/>
      <c r="I100" s="7"/>
      <c r="J100" s="279"/>
      <c r="L100" s="7"/>
      <c r="M100" s="7"/>
      <c r="N100" s="7"/>
      <c r="O100" s="7"/>
      <c r="P100" s="7"/>
      <c r="R100" s="7"/>
      <c r="S100" s="7"/>
      <c r="T100" s="7"/>
      <c r="U100" s="7"/>
      <c r="V100" s="7"/>
      <c r="X100" s="7"/>
      <c r="Y100" s="7"/>
      <c r="Z100" s="7"/>
      <c r="AA100" s="7"/>
      <c r="AB100" s="7"/>
    </row>
    <row r="101" spans="2:28">
      <c r="B101" s="282" t="s">
        <v>417</v>
      </c>
      <c r="C101" s="282"/>
      <c r="F101" s="6"/>
      <c r="G101" s="7"/>
      <c r="H101" s="7"/>
      <c r="I101" s="7"/>
      <c r="J101" s="7"/>
      <c r="L101" s="7"/>
      <c r="M101" s="7"/>
      <c r="N101" s="7"/>
      <c r="O101" s="7"/>
      <c r="P101" s="7"/>
      <c r="R101" s="7"/>
      <c r="S101" s="7"/>
      <c r="T101" s="7"/>
      <c r="U101" s="7"/>
      <c r="V101" s="7"/>
      <c r="X101" s="7"/>
      <c r="Y101" s="7"/>
      <c r="Z101" s="7"/>
      <c r="AA101" s="7"/>
      <c r="AB101" s="7"/>
    </row>
    <row r="102" spans="2:28">
      <c r="C102" s="283" t="s">
        <v>420</v>
      </c>
      <c r="E102" s="278">
        <f>tlInputConsumerDirectSalesFTEs</f>
        <v>190</v>
      </c>
      <c r="F102" s="6" t="s">
        <v>1129</v>
      </c>
      <c r="G102" s="7">
        <f>tlInputConsumerDirectSalesFTEs</f>
        <v>190</v>
      </c>
      <c r="H102" s="7"/>
      <c r="I102" s="7"/>
      <c r="J102" s="279">
        <v>150</v>
      </c>
      <c r="L102" s="7"/>
      <c r="M102" s="7"/>
      <c r="N102" s="7"/>
      <c r="O102" s="7"/>
      <c r="P102" s="7"/>
      <c r="R102" s="7"/>
      <c r="S102" s="7"/>
      <c r="T102" s="7"/>
      <c r="U102" s="7"/>
      <c r="V102" s="7"/>
      <c r="X102" s="7"/>
      <c r="Y102" s="7"/>
      <c r="Z102" s="7"/>
      <c r="AA102" s="7"/>
      <c r="AB102" s="7"/>
    </row>
    <row r="103" spans="2:28">
      <c r="C103" s="283" t="s">
        <v>421</v>
      </c>
      <c r="E103" s="278">
        <f>tlInputConsumerInsideSalesFTEs</f>
        <v>90</v>
      </c>
      <c r="F103" s="6" t="s">
        <v>1130</v>
      </c>
      <c r="G103" s="7">
        <f>tlInputConsumerInsideSalesFTEs</f>
        <v>90</v>
      </c>
      <c r="H103" s="7"/>
      <c r="I103" s="7"/>
      <c r="J103" s="279">
        <v>90</v>
      </c>
      <c r="L103" s="7"/>
      <c r="M103" s="7"/>
      <c r="N103" s="7"/>
      <c r="O103" s="7"/>
      <c r="P103" s="7"/>
      <c r="R103" s="7"/>
      <c r="S103" s="7"/>
      <c r="T103" s="7"/>
      <c r="U103" s="7"/>
      <c r="V103" s="7"/>
      <c r="X103" s="7"/>
      <c r="Y103" s="7"/>
      <c r="Z103" s="7"/>
      <c r="AA103" s="7"/>
      <c r="AB103" s="7"/>
    </row>
    <row r="104" spans="2:28">
      <c r="C104" s="283" t="s">
        <v>422</v>
      </c>
      <c r="E104" s="278">
        <f>tlInputConsumerServicesFTEs</f>
        <v>110</v>
      </c>
      <c r="F104" s="6" t="s">
        <v>1131</v>
      </c>
      <c r="G104" s="7">
        <f>tlInputConsumerServicesFTEs</f>
        <v>110</v>
      </c>
      <c r="H104" s="7"/>
      <c r="I104" s="7"/>
      <c r="J104" s="279">
        <v>110</v>
      </c>
      <c r="L104" s="7"/>
      <c r="M104" s="7"/>
      <c r="N104" s="7"/>
      <c r="O104" s="7"/>
      <c r="P104" s="7"/>
      <c r="R104" s="7"/>
      <c r="S104" s="7"/>
      <c r="T104" s="7"/>
      <c r="U104" s="7"/>
      <c r="V104" s="7"/>
      <c r="X104" s="7"/>
      <c r="Y104" s="7"/>
      <c r="Z104" s="7"/>
      <c r="AA104" s="7"/>
      <c r="AB104" s="7"/>
    </row>
    <row r="105" spans="2:28">
      <c r="F105" s="6"/>
      <c r="G105" s="7"/>
      <c r="H105" s="7"/>
      <c r="I105" s="7"/>
      <c r="J105" s="7"/>
      <c r="L105" s="7"/>
      <c r="M105" s="7"/>
      <c r="N105" s="7"/>
      <c r="O105" s="7"/>
      <c r="P105" s="7"/>
      <c r="R105" s="7"/>
      <c r="S105" s="7"/>
      <c r="T105" s="7"/>
      <c r="U105" s="7"/>
      <c r="V105" s="7"/>
      <c r="X105" s="7"/>
      <c r="Y105" s="7"/>
      <c r="Z105" s="7"/>
      <c r="AA105" s="7"/>
      <c r="AB105" s="7"/>
    </row>
    <row r="106" spans="2:28">
      <c r="B106" s="282" t="s">
        <v>424</v>
      </c>
      <c r="C106" s="282"/>
      <c r="F106" s="6"/>
      <c r="G106" s="7"/>
      <c r="H106" s="7"/>
      <c r="I106" s="7"/>
      <c r="J106" s="7"/>
      <c r="L106" s="7"/>
      <c r="M106" s="7"/>
      <c r="N106" s="7"/>
      <c r="O106" s="7"/>
      <c r="P106" s="7"/>
      <c r="R106" s="7"/>
      <c r="S106" s="7"/>
      <c r="T106" s="7"/>
      <c r="U106" s="7"/>
      <c r="V106" s="7"/>
      <c r="X106" s="7"/>
      <c r="Y106" s="7"/>
      <c r="Z106" s="7"/>
      <c r="AA106" s="7"/>
      <c r="AB106" s="7"/>
    </row>
    <row r="107" spans="2:28">
      <c r="C107" s="283" t="s">
        <v>495</v>
      </c>
      <c r="E107" s="278">
        <f>tlInputConsumerPartnerDevelopment</f>
        <v>0</v>
      </c>
      <c r="F107" s="6" t="s">
        <v>1139</v>
      </c>
      <c r="G107" s="7">
        <f>tlInputConsumerPartnerDevelopment</f>
        <v>0</v>
      </c>
      <c r="H107" s="7"/>
      <c r="I107" s="7"/>
      <c r="J107" s="279">
        <v>0</v>
      </c>
      <c r="L107" s="7"/>
      <c r="M107" s="7"/>
      <c r="N107" s="7"/>
      <c r="O107" s="7"/>
      <c r="P107" s="7"/>
      <c r="R107" s="7"/>
      <c r="S107" s="7"/>
      <c r="T107" s="7"/>
      <c r="U107" s="7"/>
      <c r="V107" s="7"/>
      <c r="X107" s="7"/>
      <c r="Y107" s="7"/>
      <c r="Z107" s="7"/>
      <c r="AA107" s="7"/>
      <c r="AB107" s="7"/>
    </row>
    <row r="108" spans="2:28">
      <c r="C108" s="283" t="s">
        <v>426</v>
      </c>
      <c r="E108" s="278">
        <f>tlInputConsumerPartnerIncentives</f>
        <v>0</v>
      </c>
      <c r="F108" s="6" t="s">
        <v>1140</v>
      </c>
      <c r="G108" s="7">
        <f>tlInputConsumerPartnerIncentives</f>
        <v>0</v>
      </c>
      <c r="H108" s="7"/>
      <c r="I108" s="7"/>
      <c r="J108" s="279">
        <v>0</v>
      </c>
      <c r="L108" s="7"/>
      <c r="M108" s="7"/>
      <c r="N108" s="7"/>
      <c r="O108" s="7"/>
      <c r="P108" s="7"/>
      <c r="R108" s="7"/>
      <c r="S108" s="7"/>
      <c r="T108" s="7"/>
      <c r="U108" s="7"/>
      <c r="V108" s="7"/>
      <c r="X108" s="7"/>
      <c r="Y108" s="7"/>
      <c r="Z108" s="7"/>
      <c r="AA108" s="7"/>
      <c r="AB108" s="7"/>
    </row>
    <row r="109" spans="2:28">
      <c r="C109" s="283" t="s">
        <v>425</v>
      </c>
      <c r="E109" s="278">
        <f>tlInputConsumerPartnerEducation</f>
        <v>0</v>
      </c>
      <c r="F109" s="6" t="s">
        <v>1141</v>
      </c>
      <c r="G109" s="7">
        <f>tlInputConsumerPartnerEducation</f>
        <v>0</v>
      </c>
      <c r="H109" s="7"/>
      <c r="I109" s="7"/>
      <c r="J109" s="279">
        <v>0</v>
      </c>
      <c r="L109" s="7"/>
      <c r="M109" s="7"/>
      <c r="N109" s="7"/>
      <c r="O109" s="7"/>
      <c r="P109" s="7"/>
      <c r="R109" s="7"/>
      <c r="S109" s="7"/>
      <c r="T109" s="7"/>
      <c r="U109" s="7"/>
      <c r="V109" s="7"/>
      <c r="X109" s="7"/>
      <c r="Y109" s="7"/>
      <c r="Z109" s="7"/>
      <c r="AA109" s="7"/>
      <c r="AB109" s="7"/>
    </row>
    <row r="110" spans="2:28">
      <c r="F110" s="6"/>
      <c r="G110" s="7"/>
      <c r="H110" s="7"/>
      <c r="I110" s="7"/>
      <c r="J110" s="7"/>
      <c r="L110" s="7"/>
      <c r="M110" s="7"/>
      <c r="N110" s="7"/>
      <c r="O110" s="7"/>
      <c r="P110" s="7"/>
      <c r="R110" s="7"/>
      <c r="S110" s="7"/>
      <c r="T110" s="7"/>
      <c r="U110" s="7"/>
      <c r="V110" s="7"/>
      <c r="X110" s="7"/>
      <c r="Y110" s="7"/>
      <c r="Z110" s="7"/>
      <c r="AA110" s="7"/>
      <c r="AB110" s="7"/>
    </row>
    <row r="111" spans="2:28">
      <c r="C111" s="283" t="str">
        <f>nmPartner4</f>
        <v>Channels</v>
      </c>
      <c r="E111" s="280">
        <f>tlInputConsumerPartner4Pct</f>
        <v>0.33</v>
      </c>
      <c r="F111" s="6" t="s">
        <v>1132</v>
      </c>
      <c r="G111" s="281">
        <f>tlInputConsumerPartner4Pct</f>
        <v>0.33</v>
      </c>
      <c r="H111" s="7"/>
      <c r="I111" s="7"/>
      <c r="J111" s="139">
        <v>0.33</v>
      </c>
      <c r="L111" s="7"/>
      <c r="M111" s="7"/>
      <c r="N111" s="7"/>
      <c r="O111" s="7"/>
      <c r="P111" s="7"/>
      <c r="R111" s="7"/>
      <c r="S111" s="7"/>
      <c r="T111" s="7"/>
      <c r="U111" s="7"/>
      <c r="V111" s="7"/>
      <c r="X111" s="7"/>
      <c r="Y111" s="7"/>
      <c r="Z111" s="7"/>
      <c r="AA111" s="7"/>
      <c r="AB111" s="7"/>
    </row>
    <row r="112" spans="2:28">
      <c r="C112" s="283" t="str">
        <f>nmPartner5</f>
        <v>Retailer</v>
      </c>
      <c r="E112" s="280">
        <f>tlInputConsumerPartner5Pct</f>
        <v>0.33</v>
      </c>
      <c r="F112" s="6" t="s">
        <v>1133</v>
      </c>
      <c r="G112" s="281">
        <f>tlInputConsumerPartner5Pct</f>
        <v>0.33</v>
      </c>
      <c r="H112" s="7"/>
      <c r="I112" s="7"/>
      <c r="J112" s="139">
        <v>0.33</v>
      </c>
      <c r="L112" s="7"/>
      <c r="M112" s="7"/>
      <c r="N112" s="7"/>
      <c r="O112" s="7"/>
      <c r="P112" s="7"/>
      <c r="R112" s="7"/>
      <c r="S112" s="7"/>
      <c r="T112" s="7"/>
      <c r="U112" s="7"/>
      <c r="V112" s="7"/>
      <c r="X112" s="7"/>
      <c r="Y112" s="7"/>
      <c r="Z112" s="7"/>
      <c r="AA112" s="7"/>
      <c r="AB112" s="7"/>
    </row>
    <row r="113" spans="1:28">
      <c r="C113" s="283" t="str">
        <f>nmPartner6</f>
        <v>Developer</v>
      </c>
      <c r="E113" s="280">
        <f>1-tlInputConsumerPartner4Pct-tlInputConsumerPartner5Pct</f>
        <v>0.33999999999999991</v>
      </c>
      <c r="F113" s="6" t="s">
        <v>3333</v>
      </c>
      <c r="G113" s="281">
        <f>1-tlInputConsumerPartner4Pct-tlInputConsumerPartner5Pct</f>
        <v>0.33999999999999991</v>
      </c>
      <c r="H113" s="7"/>
      <c r="I113" s="7"/>
      <c r="J113" s="139">
        <v>0.33999999999999991</v>
      </c>
      <c r="L113" s="7"/>
      <c r="M113" s="7"/>
      <c r="N113" s="7"/>
      <c r="O113" s="7"/>
      <c r="P113" s="7"/>
      <c r="R113" s="7"/>
      <c r="S113" s="7"/>
      <c r="T113" s="7"/>
      <c r="U113" s="7"/>
      <c r="V113" s="7"/>
      <c r="X113" s="7"/>
      <c r="Y113" s="7"/>
      <c r="Z113" s="7"/>
      <c r="AA113" s="7"/>
      <c r="AB113" s="7"/>
    </row>
    <row r="114" spans="1:28">
      <c r="F114" s="6"/>
      <c r="G114" s="7"/>
      <c r="H114" s="7"/>
      <c r="I114" s="7"/>
      <c r="J114" s="7"/>
      <c r="L114" s="7"/>
      <c r="M114" s="7"/>
      <c r="N114" s="7"/>
      <c r="O114" s="7"/>
      <c r="P114" s="7"/>
      <c r="R114" s="7"/>
      <c r="S114" s="7"/>
      <c r="T114" s="7"/>
      <c r="U114" s="7"/>
      <c r="V114" s="7"/>
      <c r="X114" s="7"/>
      <c r="Y114" s="7"/>
      <c r="Z114" s="7"/>
      <c r="AA114" s="7"/>
      <c r="AB114" s="7"/>
    </row>
    <row r="115" spans="1:28">
      <c r="B115" s="282" t="s">
        <v>2415</v>
      </c>
      <c r="C115" s="282"/>
      <c r="F115" s="6"/>
      <c r="G115" s="7"/>
      <c r="H115" s="7"/>
      <c r="I115" s="7"/>
      <c r="J115" s="7"/>
      <c r="L115" s="7"/>
      <c r="M115" s="7"/>
      <c r="N115" s="7"/>
      <c r="O115" s="7"/>
      <c r="P115" s="7"/>
      <c r="R115" s="7"/>
      <c r="S115" s="7"/>
      <c r="T115" s="7"/>
      <c r="U115" s="7"/>
      <c r="V115" s="7"/>
      <c r="X115" s="7"/>
      <c r="Y115" s="7"/>
      <c r="Z115" s="7"/>
      <c r="AA115" s="7"/>
      <c r="AB115" s="7"/>
    </row>
    <row r="116" spans="1:28">
      <c r="C116" s="283" t="s">
        <v>2416</v>
      </c>
      <c r="E116" s="278">
        <f>tlInputWobbler1</f>
        <v>0</v>
      </c>
      <c r="F116" s="6" t="s">
        <v>3329</v>
      </c>
      <c r="G116" s="7">
        <f>tlInputWobbler1</f>
        <v>0</v>
      </c>
      <c r="H116" s="7"/>
      <c r="I116" s="7"/>
      <c r="J116" s="279">
        <v>0</v>
      </c>
      <c r="L116" s="7"/>
      <c r="M116" s="7"/>
      <c r="N116" s="7"/>
      <c r="O116" s="7"/>
      <c r="P116" s="7"/>
      <c r="R116" s="7"/>
      <c r="S116" s="7"/>
      <c r="T116" s="7"/>
      <c r="U116" s="7"/>
      <c r="V116" s="7"/>
      <c r="X116" s="7"/>
      <c r="Y116" s="7"/>
      <c r="Z116" s="7"/>
      <c r="AA116" s="7"/>
      <c r="AB116" s="7"/>
    </row>
    <row r="117" spans="1:28">
      <c r="C117" s="283" t="s">
        <v>2417</v>
      </c>
      <c r="E117" s="278">
        <f>tlInputWobbler2</f>
        <v>0</v>
      </c>
      <c r="F117" s="6" t="s">
        <v>3330</v>
      </c>
      <c r="G117" s="7">
        <f>tlInputWobbler2</f>
        <v>0</v>
      </c>
      <c r="H117" s="7"/>
      <c r="I117" s="7"/>
      <c r="J117" s="279">
        <v>0</v>
      </c>
      <c r="L117" s="7"/>
      <c r="M117" s="7"/>
      <c r="N117" s="7"/>
      <c r="O117" s="7"/>
      <c r="P117" s="7"/>
      <c r="R117" s="7"/>
      <c r="S117" s="7"/>
      <c r="T117" s="7"/>
      <c r="U117" s="7"/>
      <c r="V117" s="7"/>
      <c r="X117" s="7"/>
      <c r="Y117" s="7"/>
      <c r="Z117" s="7"/>
      <c r="AA117" s="7"/>
      <c r="AB117" s="7"/>
    </row>
    <row r="118" spans="1:28">
      <c r="C118" s="283" t="s">
        <v>2418</v>
      </c>
      <c r="E118" s="278">
        <f>tlInputWobbler3</f>
        <v>0</v>
      </c>
      <c r="F118" s="6" t="s">
        <v>3331</v>
      </c>
      <c r="G118" s="7">
        <f>tlInputWobbler3</f>
        <v>0</v>
      </c>
      <c r="H118" s="7"/>
      <c r="I118" s="7"/>
      <c r="J118" s="279">
        <v>0</v>
      </c>
      <c r="L118" s="7"/>
      <c r="M118" s="7"/>
      <c r="N118" s="7"/>
      <c r="O118" s="7"/>
      <c r="P118" s="7"/>
      <c r="R118" s="7"/>
      <c r="S118" s="7"/>
      <c r="T118" s="7"/>
      <c r="U118" s="7"/>
      <c r="V118" s="7"/>
      <c r="X118" s="7"/>
      <c r="Y118" s="7"/>
      <c r="Z118" s="7"/>
      <c r="AA118" s="7"/>
      <c r="AB118" s="7"/>
    </row>
    <row r="119" spans="1:28">
      <c r="C119" s="283" t="s">
        <v>2419</v>
      </c>
      <c r="E119" s="278">
        <f>tlInputWobbler4</f>
        <v>0</v>
      </c>
      <c r="F119" s="6" t="s">
        <v>3332</v>
      </c>
      <c r="G119" s="7">
        <f>tlInputWobbler4</f>
        <v>0</v>
      </c>
      <c r="H119" s="7"/>
      <c r="I119" s="7"/>
      <c r="J119" s="279">
        <v>0</v>
      </c>
      <c r="L119" s="7"/>
      <c r="M119" s="7"/>
      <c r="N119" s="7"/>
      <c r="O119" s="7"/>
      <c r="P119" s="7"/>
      <c r="R119" s="7"/>
      <c r="S119" s="7"/>
      <c r="T119" s="7"/>
      <c r="U119" s="7"/>
      <c r="V119" s="7"/>
      <c r="X119" s="7"/>
      <c r="Y119" s="7"/>
      <c r="Z119" s="7"/>
      <c r="AA119" s="7"/>
      <c r="AB119" s="7"/>
    </row>
    <row r="120" spans="1:28">
      <c r="C120" s="283" t="s">
        <v>2420</v>
      </c>
      <c r="E120" s="278">
        <f>tlInputWobbler5</f>
        <v>0</v>
      </c>
      <c r="F120" s="6"/>
      <c r="G120" s="842">
        <f>tlInputWobbler5</f>
        <v>0</v>
      </c>
      <c r="H120" s="7"/>
      <c r="I120" s="7"/>
      <c r="J120" s="279">
        <v>0</v>
      </c>
      <c r="L120" s="7"/>
      <c r="M120" s="7"/>
      <c r="N120" s="7"/>
      <c r="O120" s="7"/>
      <c r="P120" s="7"/>
      <c r="R120" s="7"/>
      <c r="S120" s="7"/>
      <c r="T120" s="7"/>
      <c r="U120" s="7"/>
      <c r="V120" s="7"/>
      <c r="X120" s="7"/>
      <c r="Y120" s="7"/>
      <c r="Z120" s="7"/>
      <c r="AA120" s="7"/>
      <c r="AB120" s="7"/>
    </row>
    <row r="121" spans="1:28">
      <c r="C121" s="283" t="s">
        <v>2421</v>
      </c>
      <c r="E121" s="278">
        <f>tlInputWobbler6</f>
        <v>0</v>
      </c>
      <c r="F121" s="6"/>
      <c r="G121" s="842">
        <f>tlInputWobbler6</f>
        <v>0</v>
      </c>
      <c r="H121" s="7"/>
      <c r="I121" s="7"/>
      <c r="J121" s="279">
        <v>0</v>
      </c>
      <c r="L121" s="7"/>
      <c r="M121" s="7"/>
      <c r="N121" s="7"/>
      <c r="O121" s="7"/>
      <c r="P121" s="7"/>
      <c r="R121" s="7"/>
      <c r="S121" s="7"/>
      <c r="T121" s="7"/>
      <c r="U121" s="7"/>
      <c r="V121" s="7"/>
      <c r="X121" s="7"/>
      <c r="Y121" s="7"/>
      <c r="Z121" s="7"/>
      <c r="AA121" s="7"/>
      <c r="AB121" s="7"/>
    </row>
    <row r="122" spans="1:28">
      <c r="C122" s="283" t="s">
        <v>2422</v>
      </c>
      <c r="E122" s="278">
        <f>tlInputWobbler7</f>
        <v>0</v>
      </c>
      <c r="F122" s="6"/>
      <c r="G122" s="842">
        <f>tlInputWobbler7</f>
        <v>0</v>
      </c>
      <c r="H122" s="7"/>
      <c r="I122" s="7"/>
      <c r="J122" s="279">
        <v>0</v>
      </c>
      <c r="L122" s="7"/>
      <c r="M122" s="7"/>
      <c r="N122" s="7"/>
      <c r="O122" s="7"/>
      <c r="P122" s="7"/>
      <c r="R122" s="7"/>
      <c r="S122" s="7"/>
      <c r="T122" s="7"/>
      <c r="U122" s="7"/>
      <c r="V122" s="7"/>
      <c r="X122" s="7"/>
      <c r="Y122" s="7"/>
      <c r="Z122" s="7"/>
      <c r="AA122" s="7"/>
      <c r="AB122" s="7"/>
    </row>
    <row r="123" spans="1:28">
      <c r="C123" s="283" t="s">
        <v>2422</v>
      </c>
      <c r="E123" s="278">
        <f>tlInputWobbler8</f>
        <v>0</v>
      </c>
      <c r="F123" s="6"/>
      <c r="G123" s="842">
        <f>tlInputWobbler8</f>
        <v>0</v>
      </c>
      <c r="H123" s="7"/>
      <c r="I123" s="7"/>
      <c r="J123" s="279">
        <v>0</v>
      </c>
      <c r="L123" s="7"/>
      <c r="M123" s="7"/>
      <c r="N123" s="7"/>
      <c r="O123" s="7"/>
      <c r="P123" s="7"/>
      <c r="R123" s="7"/>
      <c r="S123" s="7"/>
      <c r="T123" s="7"/>
      <c r="U123" s="7"/>
      <c r="V123" s="7"/>
      <c r="X123" s="7"/>
      <c r="Y123" s="7"/>
      <c r="Z123" s="7"/>
      <c r="AA123" s="7"/>
      <c r="AB123" s="7"/>
    </row>
    <row r="124" spans="1:28">
      <c r="F124" s="6"/>
      <c r="G124" s="7"/>
      <c r="H124" s="7"/>
      <c r="I124" s="7"/>
      <c r="J124" s="7"/>
      <c r="L124" s="7"/>
      <c r="M124" s="7"/>
      <c r="N124" s="7"/>
      <c r="O124" s="7"/>
      <c r="P124" s="7"/>
      <c r="R124" s="7"/>
      <c r="S124" s="7"/>
      <c r="T124" s="7"/>
      <c r="U124" s="7"/>
      <c r="V124" s="7"/>
      <c r="X124" s="7"/>
      <c r="Y124" s="7"/>
      <c r="Z124" s="7"/>
      <c r="AA124" s="7"/>
      <c r="AB124" s="7"/>
    </row>
    <row r="125" spans="1:28" s="9" customFormat="1">
      <c r="A125" s="8" t="s">
        <v>42</v>
      </c>
      <c r="B125" s="8"/>
      <c r="E125" s="10"/>
    </row>
  </sheetData>
  <conditionalFormatting sqref="H4:H10 H32 H76:I78 H19:H20 H90:I91 H11:I15 H52:I59">
    <cfRule type="cellIs" dxfId="733" priority="170" operator="equal">
      <formula>TRUE</formula>
    </cfRule>
  </conditionalFormatting>
  <conditionalFormatting sqref="I7:I10 I32 I19:I20">
    <cfRule type="cellIs" dxfId="732" priority="169" operator="equal">
      <formula>TRUE</formula>
    </cfRule>
  </conditionalFormatting>
  <conditionalFormatting sqref="I4:I6">
    <cfRule type="cellIs" dxfId="731" priority="168" operator="equal">
      <formula>TRUE</formula>
    </cfRule>
  </conditionalFormatting>
  <conditionalFormatting sqref="H33:I34">
    <cfRule type="cellIs" dxfId="730" priority="156" operator="equal">
      <formula>TRUE</formula>
    </cfRule>
  </conditionalFormatting>
  <conditionalFormatting sqref="H35:H36">
    <cfRule type="cellIs" dxfId="729" priority="155" operator="equal">
      <formula>TRUE</formula>
    </cfRule>
  </conditionalFormatting>
  <conditionalFormatting sqref="I35:I36">
    <cfRule type="cellIs" dxfId="728" priority="154" operator="equal">
      <formula>TRUE</formula>
    </cfRule>
  </conditionalFormatting>
  <conditionalFormatting sqref="H37">
    <cfRule type="cellIs" dxfId="727" priority="153" operator="equal">
      <formula>TRUE</formula>
    </cfRule>
  </conditionalFormatting>
  <conditionalFormatting sqref="I37">
    <cfRule type="cellIs" dxfId="726" priority="152" operator="equal">
      <formula>TRUE</formula>
    </cfRule>
  </conditionalFormatting>
  <conditionalFormatting sqref="H38 H69 H64 H124">
    <cfRule type="cellIs" dxfId="725" priority="151" operator="equal">
      <formula>TRUE</formula>
    </cfRule>
  </conditionalFormatting>
  <conditionalFormatting sqref="I38 I69 I64 I124">
    <cfRule type="cellIs" dxfId="724" priority="150" operator="equal">
      <formula>TRUE</formula>
    </cfRule>
  </conditionalFormatting>
  <conditionalFormatting sqref="H39:I39">
    <cfRule type="cellIs" dxfId="723" priority="149" operator="equal">
      <formula>TRUE</formula>
    </cfRule>
  </conditionalFormatting>
  <conditionalFormatting sqref="H40:H41">
    <cfRule type="cellIs" dxfId="722" priority="148" operator="equal">
      <formula>TRUE</formula>
    </cfRule>
  </conditionalFormatting>
  <conditionalFormatting sqref="I40:I41">
    <cfRule type="cellIs" dxfId="721" priority="147" operator="equal">
      <formula>TRUE</formula>
    </cfRule>
  </conditionalFormatting>
  <conditionalFormatting sqref="H44:H45">
    <cfRule type="cellIs" dxfId="720" priority="141" operator="equal">
      <formula>TRUE</formula>
    </cfRule>
  </conditionalFormatting>
  <conditionalFormatting sqref="I44:I45">
    <cfRule type="cellIs" dxfId="719" priority="140" operator="equal">
      <formula>TRUE</formula>
    </cfRule>
  </conditionalFormatting>
  <conditionalFormatting sqref="H42">
    <cfRule type="cellIs" dxfId="718" priority="144" operator="equal">
      <formula>TRUE</formula>
    </cfRule>
  </conditionalFormatting>
  <conditionalFormatting sqref="I42">
    <cfRule type="cellIs" dxfId="717" priority="143" operator="equal">
      <formula>TRUE</formula>
    </cfRule>
  </conditionalFormatting>
  <conditionalFormatting sqref="H43:I43">
    <cfRule type="cellIs" dxfId="716" priority="142" operator="equal">
      <formula>TRUE</formula>
    </cfRule>
  </conditionalFormatting>
  <conditionalFormatting sqref="H48:H49">
    <cfRule type="cellIs" dxfId="715" priority="134" operator="equal">
      <formula>TRUE</formula>
    </cfRule>
  </conditionalFormatting>
  <conditionalFormatting sqref="I48:I49">
    <cfRule type="cellIs" dxfId="714" priority="133" operator="equal">
      <formula>TRUE</formula>
    </cfRule>
  </conditionalFormatting>
  <conditionalFormatting sqref="H46">
    <cfRule type="cellIs" dxfId="713" priority="137" operator="equal">
      <formula>TRUE</formula>
    </cfRule>
  </conditionalFormatting>
  <conditionalFormatting sqref="I46">
    <cfRule type="cellIs" dxfId="712" priority="136" operator="equal">
      <formula>TRUE</formula>
    </cfRule>
  </conditionalFormatting>
  <conditionalFormatting sqref="H47:I47">
    <cfRule type="cellIs" dxfId="711" priority="135" operator="equal">
      <formula>TRUE</formula>
    </cfRule>
  </conditionalFormatting>
  <conditionalFormatting sqref="H63">
    <cfRule type="cellIs" dxfId="710" priority="125" operator="equal">
      <formula>TRUE</formula>
    </cfRule>
  </conditionalFormatting>
  <conditionalFormatting sqref="I63">
    <cfRule type="cellIs" dxfId="709" priority="124" operator="equal">
      <formula>TRUE</formula>
    </cfRule>
  </conditionalFormatting>
  <conditionalFormatting sqref="H50">
    <cfRule type="cellIs" dxfId="708" priority="130" operator="equal">
      <formula>TRUE</formula>
    </cfRule>
  </conditionalFormatting>
  <conditionalFormatting sqref="I50">
    <cfRule type="cellIs" dxfId="707" priority="129" operator="equal">
      <formula>TRUE</formula>
    </cfRule>
  </conditionalFormatting>
  <conditionalFormatting sqref="H51:I51 H60:I60">
    <cfRule type="cellIs" dxfId="706" priority="128" operator="equal">
      <formula>TRUE</formula>
    </cfRule>
  </conditionalFormatting>
  <conditionalFormatting sqref="H61:H62">
    <cfRule type="cellIs" dxfId="705" priority="127" operator="equal">
      <formula>TRUE</formula>
    </cfRule>
  </conditionalFormatting>
  <conditionalFormatting sqref="I61:I62">
    <cfRule type="cellIs" dxfId="704" priority="126" operator="equal">
      <formula>TRUE</formula>
    </cfRule>
  </conditionalFormatting>
  <conditionalFormatting sqref="H73">
    <cfRule type="cellIs" dxfId="703" priority="120" operator="equal">
      <formula>TRUE</formula>
    </cfRule>
  </conditionalFormatting>
  <conditionalFormatting sqref="I73">
    <cfRule type="cellIs" dxfId="702" priority="119" operator="equal">
      <formula>TRUE</formula>
    </cfRule>
  </conditionalFormatting>
  <conditionalFormatting sqref="H70:I70">
    <cfRule type="cellIs" dxfId="701" priority="123" operator="equal">
      <formula>TRUE</formula>
    </cfRule>
  </conditionalFormatting>
  <conditionalFormatting sqref="H71:H72">
    <cfRule type="cellIs" dxfId="700" priority="122" operator="equal">
      <formula>TRUE</formula>
    </cfRule>
  </conditionalFormatting>
  <conditionalFormatting sqref="I71:I72">
    <cfRule type="cellIs" dxfId="699" priority="121" operator="equal">
      <formula>TRUE</formula>
    </cfRule>
  </conditionalFormatting>
  <conditionalFormatting sqref="H74">
    <cfRule type="cellIs" dxfId="698" priority="118" operator="equal">
      <formula>TRUE</formula>
    </cfRule>
  </conditionalFormatting>
  <conditionalFormatting sqref="I74">
    <cfRule type="cellIs" dxfId="697" priority="117" operator="equal">
      <formula>TRUE</formula>
    </cfRule>
  </conditionalFormatting>
  <conditionalFormatting sqref="H82">
    <cfRule type="cellIs" dxfId="696" priority="113" operator="equal">
      <formula>TRUE</formula>
    </cfRule>
  </conditionalFormatting>
  <conditionalFormatting sqref="I82">
    <cfRule type="cellIs" dxfId="695" priority="112" operator="equal">
      <formula>TRUE</formula>
    </cfRule>
  </conditionalFormatting>
  <conditionalFormatting sqref="H75:I75">
    <cfRule type="cellIs" dxfId="694" priority="116" operator="equal">
      <formula>TRUE</formula>
    </cfRule>
  </conditionalFormatting>
  <conditionalFormatting sqref="H80:H81">
    <cfRule type="cellIs" dxfId="693" priority="115" operator="equal">
      <formula>TRUE</formula>
    </cfRule>
  </conditionalFormatting>
  <conditionalFormatting sqref="I80:I81">
    <cfRule type="cellIs" dxfId="692" priority="114" operator="equal">
      <formula>TRUE</formula>
    </cfRule>
  </conditionalFormatting>
  <conditionalFormatting sqref="H83">
    <cfRule type="cellIs" dxfId="691" priority="111" operator="equal">
      <formula>TRUE</formula>
    </cfRule>
  </conditionalFormatting>
  <conditionalFormatting sqref="I83">
    <cfRule type="cellIs" dxfId="690" priority="110" operator="equal">
      <formula>TRUE</formula>
    </cfRule>
  </conditionalFormatting>
  <conditionalFormatting sqref="H84">
    <cfRule type="cellIs" dxfId="689" priority="107" operator="equal">
      <formula>TRUE</formula>
    </cfRule>
  </conditionalFormatting>
  <conditionalFormatting sqref="I84">
    <cfRule type="cellIs" dxfId="688" priority="106" operator="equal">
      <formula>TRUE</formula>
    </cfRule>
  </conditionalFormatting>
  <conditionalFormatting sqref="H85:I85">
    <cfRule type="cellIs" dxfId="687" priority="105" operator="equal">
      <formula>TRUE</formula>
    </cfRule>
  </conditionalFormatting>
  <conditionalFormatting sqref="H86">
    <cfRule type="cellIs" dxfId="686" priority="104" operator="equal">
      <formula>TRUE</formula>
    </cfRule>
  </conditionalFormatting>
  <conditionalFormatting sqref="I86">
    <cfRule type="cellIs" dxfId="685" priority="103" operator="equal">
      <formula>TRUE</formula>
    </cfRule>
  </conditionalFormatting>
  <conditionalFormatting sqref="H87">
    <cfRule type="cellIs" dxfId="684" priority="100" operator="equal">
      <formula>TRUE</formula>
    </cfRule>
  </conditionalFormatting>
  <conditionalFormatting sqref="H95 H100">
    <cfRule type="cellIs" dxfId="683" priority="95" operator="equal">
      <formula>TRUE</formula>
    </cfRule>
  </conditionalFormatting>
  <conditionalFormatting sqref="I95 I100">
    <cfRule type="cellIs" dxfId="682" priority="94" operator="equal">
      <formula>TRUE</formula>
    </cfRule>
  </conditionalFormatting>
  <conditionalFormatting sqref="I87">
    <cfRule type="cellIs" dxfId="681" priority="99" operator="equal">
      <formula>TRUE</formula>
    </cfRule>
  </conditionalFormatting>
  <conditionalFormatting sqref="H88:I89">
    <cfRule type="cellIs" dxfId="680" priority="98" operator="equal">
      <formula>TRUE</formula>
    </cfRule>
  </conditionalFormatting>
  <conditionalFormatting sqref="H94">
    <cfRule type="cellIs" dxfId="679" priority="97" operator="equal">
      <formula>TRUE</formula>
    </cfRule>
  </conditionalFormatting>
  <conditionalFormatting sqref="I94">
    <cfRule type="cellIs" dxfId="678" priority="96" operator="equal">
      <formula>TRUE</formula>
    </cfRule>
  </conditionalFormatting>
  <conditionalFormatting sqref="H104">
    <cfRule type="cellIs" dxfId="677" priority="90" operator="equal">
      <formula>TRUE</formula>
    </cfRule>
  </conditionalFormatting>
  <conditionalFormatting sqref="I104">
    <cfRule type="cellIs" dxfId="676" priority="89" operator="equal">
      <formula>TRUE</formula>
    </cfRule>
  </conditionalFormatting>
  <conditionalFormatting sqref="H101:I101">
    <cfRule type="cellIs" dxfId="675" priority="93" operator="equal">
      <formula>TRUE</formula>
    </cfRule>
  </conditionalFormatting>
  <conditionalFormatting sqref="H102:H103">
    <cfRule type="cellIs" dxfId="674" priority="92" operator="equal">
      <formula>TRUE</formula>
    </cfRule>
  </conditionalFormatting>
  <conditionalFormatting sqref="I102:I103">
    <cfRule type="cellIs" dxfId="673" priority="91" operator="equal">
      <formula>TRUE</formula>
    </cfRule>
  </conditionalFormatting>
  <conditionalFormatting sqref="H105">
    <cfRule type="cellIs" dxfId="672" priority="88" operator="equal">
      <formula>TRUE</formula>
    </cfRule>
  </conditionalFormatting>
  <conditionalFormatting sqref="I105">
    <cfRule type="cellIs" dxfId="671" priority="87" operator="equal">
      <formula>TRUE</formula>
    </cfRule>
  </conditionalFormatting>
  <conditionalFormatting sqref="I79">
    <cfRule type="cellIs" dxfId="670" priority="71" operator="equal">
      <formula>TRUE</formula>
    </cfRule>
  </conditionalFormatting>
  <conditionalFormatting sqref="H23:I23">
    <cfRule type="cellIs" dxfId="669" priority="70" operator="equal">
      <formula>TRUE</formula>
    </cfRule>
  </conditionalFormatting>
  <conditionalFormatting sqref="H106:I106">
    <cfRule type="cellIs" dxfId="668" priority="86" operator="equal">
      <formula>TRUE</formula>
    </cfRule>
  </conditionalFormatting>
  <conditionalFormatting sqref="I113">
    <cfRule type="cellIs" dxfId="667" priority="78" operator="equal">
      <formula>TRUE</formula>
    </cfRule>
  </conditionalFormatting>
  <conditionalFormatting sqref="H79">
    <cfRule type="cellIs" dxfId="666" priority="72" operator="equal">
      <formula>TRUE</formula>
    </cfRule>
  </conditionalFormatting>
  <conditionalFormatting sqref="H113">
    <cfRule type="cellIs" dxfId="665" priority="79" operator="equal">
      <formula>TRUE</formula>
    </cfRule>
  </conditionalFormatting>
  <conditionalFormatting sqref="H67">
    <cfRule type="cellIs" dxfId="664" priority="62" operator="equal">
      <formula>TRUE</formula>
    </cfRule>
  </conditionalFormatting>
  <conditionalFormatting sqref="H111:H112">
    <cfRule type="cellIs" dxfId="663" priority="81" operator="equal">
      <formula>TRUE</formula>
    </cfRule>
  </conditionalFormatting>
  <conditionalFormatting sqref="I111:I112">
    <cfRule type="cellIs" dxfId="662" priority="80" operator="equal">
      <formula>TRUE</formula>
    </cfRule>
  </conditionalFormatting>
  <conditionalFormatting sqref="I68">
    <cfRule type="cellIs" dxfId="661" priority="59" operator="equal">
      <formula>TRUE</formula>
    </cfRule>
  </conditionalFormatting>
  <conditionalFormatting sqref="I67">
    <cfRule type="cellIs" dxfId="660" priority="61" operator="equal">
      <formula>TRUE</formula>
    </cfRule>
  </conditionalFormatting>
  <conditionalFormatting sqref="H68">
    <cfRule type="cellIs" dxfId="659" priority="60" operator="equal">
      <formula>TRUE</formula>
    </cfRule>
  </conditionalFormatting>
  <conditionalFormatting sqref="H65:I65">
    <cfRule type="cellIs" dxfId="658" priority="65" operator="equal">
      <formula>TRUE</formula>
    </cfRule>
  </conditionalFormatting>
  <conditionalFormatting sqref="H66">
    <cfRule type="cellIs" dxfId="657" priority="64" operator="equal">
      <formula>TRUE</formula>
    </cfRule>
  </conditionalFormatting>
  <conditionalFormatting sqref="I66">
    <cfRule type="cellIs" dxfId="656" priority="63" operator="equal">
      <formula>TRUE</formula>
    </cfRule>
  </conditionalFormatting>
  <conditionalFormatting sqref="I28">
    <cfRule type="cellIs" dxfId="655" priority="54" operator="equal">
      <formula>TRUE</formula>
    </cfRule>
  </conditionalFormatting>
  <conditionalFormatting sqref="H28">
    <cfRule type="cellIs" dxfId="654" priority="55" operator="equal">
      <formula>TRUE</formula>
    </cfRule>
  </conditionalFormatting>
  <conditionalFormatting sqref="I25">
    <cfRule type="cellIs" dxfId="653" priority="45" operator="equal">
      <formula>TRUE</formula>
    </cfRule>
  </conditionalFormatting>
  <conditionalFormatting sqref="H26">
    <cfRule type="cellIs" dxfId="652" priority="44" operator="equal">
      <formula>TRUE</formula>
    </cfRule>
  </conditionalFormatting>
  <conditionalFormatting sqref="I26">
    <cfRule type="cellIs" dxfId="651" priority="43" operator="equal">
      <formula>TRUE</formula>
    </cfRule>
  </conditionalFormatting>
  <conditionalFormatting sqref="H27">
    <cfRule type="cellIs" dxfId="650" priority="42" operator="equal">
      <formula>TRUE</formula>
    </cfRule>
  </conditionalFormatting>
  <conditionalFormatting sqref="I27">
    <cfRule type="cellIs" dxfId="649" priority="41" operator="equal">
      <formula>TRUE</formula>
    </cfRule>
  </conditionalFormatting>
  <conditionalFormatting sqref="H24:I24">
    <cfRule type="cellIs" dxfId="648" priority="47" operator="equal">
      <formula>TRUE</formula>
    </cfRule>
  </conditionalFormatting>
  <conditionalFormatting sqref="H25">
    <cfRule type="cellIs" dxfId="647" priority="46" operator="equal">
      <formula>TRUE</formula>
    </cfRule>
  </conditionalFormatting>
  <conditionalFormatting sqref="H107:I109">
    <cfRule type="cellIs" dxfId="646" priority="40" operator="equal">
      <formula>TRUE</formula>
    </cfRule>
  </conditionalFormatting>
  <conditionalFormatting sqref="I110">
    <cfRule type="cellIs" dxfId="645" priority="38" operator="equal">
      <formula>TRUE</formula>
    </cfRule>
  </conditionalFormatting>
  <conditionalFormatting sqref="H110">
    <cfRule type="cellIs" dxfId="644" priority="39" operator="equal">
      <formula>TRUE</formula>
    </cfRule>
  </conditionalFormatting>
  <conditionalFormatting sqref="H16:H17">
    <cfRule type="cellIs" dxfId="643" priority="37" operator="equal">
      <formula>TRUE</formula>
    </cfRule>
  </conditionalFormatting>
  <conditionalFormatting sqref="I16:I17">
    <cfRule type="cellIs" dxfId="642" priority="36" operator="equal">
      <formula>TRUE</formula>
    </cfRule>
  </conditionalFormatting>
  <conditionalFormatting sqref="H18">
    <cfRule type="cellIs" dxfId="641" priority="35" operator="equal">
      <formula>TRUE</formula>
    </cfRule>
  </conditionalFormatting>
  <conditionalFormatting sqref="I18">
    <cfRule type="cellIs" dxfId="640" priority="34" operator="equal">
      <formula>TRUE</formula>
    </cfRule>
  </conditionalFormatting>
  <conditionalFormatting sqref="H21">
    <cfRule type="cellIs" dxfId="639" priority="33" operator="equal">
      <formula>TRUE</formula>
    </cfRule>
  </conditionalFormatting>
  <conditionalFormatting sqref="I21">
    <cfRule type="cellIs" dxfId="638" priority="32" operator="equal">
      <formula>TRUE</formula>
    </cfRule>
  </conditionalFormatting>
  <conditionalFormatting sqref="H22">
    <cfRule type="cellIs" dxfId="637" priority="31" operator="equal">
      <formula>TRUE</formula>
    </cfRule>
  </conditionalFormatting>
  <conditionalFormatting sqref="I22">
    <cfRule type="cellIs" dxfId="636" priority="30" operator="equal">
      <formula>TRUE</formula>
    </cfRule>
  </conditionalFormatting>
  <conditionalFormatting sqref="I31">
    <cfRule type="cellIs" dxfId="635" priority="25" operator="equal">
      <formula>TRUE</formula>
    </cfRule>
  </conditionalFormatting>
  <conditionalFormatting sqref="H29">
    <cfRule type="cellIs" dxfId="634" priority="29" operator="equal">
      <formula>TRUE</formula>
    </cfRule>
  </conditionalFormatting>
  <conditionalFormatting sqref="I29">
    <cfRule type="cellIs" dxfId="633" priority="28" operator="equal">
      <formula>TRUE</formula>
    </cfRule>
  </conditionalFormatting>
  <conditionalFormatting sqref="H30:I30">
    <cfRule type="cellIs" dxfId="632" priority="27" operator="equal">
      <formula>TRUE</formula>
    </cfRule>
  </conditionalFormatting>
  <conditionalFormatting sqref="H31">
    <cfRule type="cellIs" dxfId="631" priority="26" operator="equal">
      <formula>TRUE</formula>
    </cfRule>
  </conditionalFormatting>
  <conditionalFormatting sqref="H92">
    <cfRule type="cellIs" dxfId="630" priority="24" operator="equal">
      <formula>TRUE</formula>
    </cfRule>
  </conditionalFormatting>
  <conditionalFormatting sqref="I92">
    <cfRule type="cellIs" dxfId="629" priority="23" operator="equal">
      <formula>TRUE</formula>
    </cfRule>
  </conditionalFormatting>
  <conditionalFormatting sqref="H93:I93">
    <cfRule type="cellIs" dxfId="628" priority="22" operator="equal">
      <formula>TRUE</formula>
    </cfRule>
  </conditionalFormatting>
  <conditionalFormatting sqref="H122">
    <cfRule type="cellIs" dxfId="627" priority="14" operator="equal">
      <formula>TRUE</formula>
    </cfRule>
  </conditionalFormatting>
  <conditionalFormatting sqref="I122">
    <cfRule type="cellIs" dxfId="626" priority="13" operator="equal">
      <formula>TRUE</formula>
    </cfRule>
  </conditionalFormatting>
  <conditionalFormatting sqref="H114">
    <cfRule type="cellIs" dxfId="625" priority="19" operator="equal">
      <formula>TRUE</formula>
    </cfRule>
  </conditionalFormatting>
  <conditionalFormatting sqref="I114">
    <cfRule type="cellIs" dxfId="624" priority="18" operator="equal">
      <formula>TRUE</formula>
    </cfRule>
  </conditionalFormatting>
  <conditionalFormatting sqref="H115:I115">
    <cfRule type="cellIs" dxfId="623" priority="17" operator="equal">
      <formula>TRUE</formula>
    </cfRule>
  </conditionalFormatting>
  <conditionalFormatting sqref="H120:H121">
    <cfRule type="cellIs" dxfId="622" priority="16" operator="equal">
      <formula>TRUE</formula>
    </cfRule>
  </conditionalFormatting>
  <conditionalFormatting sqref="I120:I121">
    <cfRule type="cellIs" dxfId="621" priority="15" operator="equal">
      <formula>TRUE</formula>
    </cfRule>
  </conditionalFormatting>
  <conditionalFormatting sqref="H116:I118">
    <cfRule type="cellIs" dxfId="620" priority="12" operator="equal">
      <formula>TRUE</formula>
    </cfRule>
  </conditionalFormatting>
  <conditionalFormatting sqref="I119">
    <cfRule type="cellIs" dxfId="619" priority="10" operator="equal">
      <formula>TRUE</formula>
    </cfRule>
  </conditionalFormatting>
  <conditionalFormatting sqref="H119">
    <cfRule type="cellIs" dxfId="618" priority="11" operator="equal">
      <formula>TRUE</formula>
    </cfRule>
  </conditionalFormatting>
  <conditionalFormatting sqref="H96">
    <cfRule type="cellIs" dxfId="617" priority="9" operator="equal">
      <formula>TRUE</formula>
    </cfRule>
  </conditionalFormatting>
  <conditionalFormatting sqref="I96">
    <cfRule type="cellIs" dxfId="616" priority="8" operator="equal">
      <formula>TRUE</formula>
    </cfRule>
  </conditionalFormatting>
  <conditionalFormatting sqref="H99">
    <cfRule type="cellIs" dxfId="615" priority="4" operator="equal">
      <formula>TRUE</formula>
    </cfRule>
  </conditionalFormatting>
  <conditionalFormatting sqref="I99">
    <cfRule type="cellIs" dxfId="614" priority="3" operator="equal">
      <formula>TRUE</formula>
    </cfRule>
  </conditionalFormatting>
  <conditionalFormatting sqref="H97:I97">
    <cfRule type="cellIs" dxfId="613" priority="7" operator="equal">
      <formula>TRUE</formula>
    </cfRule>
  </conditionalFormatting>
  <conditionalFormatting sqref="H98">
    <cfRule type="cellIs" dxfId="612" priority="6" operator="equal">
      <formula>TRUE</formula>
    </cfRule>
  </conditionalFormatting>
  <conditionalFormatting sqref="I98">
    <cfRule type="cellIs" dxfId="611" priority="5" operator="equal">
      <formula>TRUE</formula>
    </cfRule>
  </conditionalFormatting>
  <conditionalFormatting sqref="H123">
    <cfRule type="cellIs" dxfId="610" priority="2" operator="equal">
      <formula>TRUE</formula>
    </cfRule>
  </conditionalFormatting>
  <conditionalFormatting sqref="I123">
    <cfRule type="cellIs" dxfId="609" priority="1" operator="equal">
      <formula>TRUE</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2"/>
  </sheetPr>
  <dimension ref="A1:L151"/>
  <sheetViews>
    <sheetView topLeftCell="C85" workbookViewId="0">
      <selection activeCell="E92" sqref="E92"/>
    </sheetView>
  </sheetViews>
  <sheetFormatPr defaultColWidth="7.453125" defaultRowHeight="19.2"/>
  <cols>
    <col min="1" max="1" width="7.1796875" style="540" customWidth="1"/>
    <col min="2" max="2" width="29.90625" style="540" bestFit="1" customWidth="1"/>
    <col min="3" max="4" width="7.453125" style="540" customWidth="1"/>
    <col min="5" max="5" width="12.36328125" style="554" bestFit="1" customWidth="1"/>
    <col min="6" max="16384" width="7.453125" style="540"/>
  </cols>
  <sheetData>
    <row r="1" spans="1:12" s="874" customFormat="1" ht="16.2">
      <c r="A1" s="873" t="s">
        <v>2632</v>
      </c>
      <c r="B1" s="873"/>
      <c r="E1" s="874" t="s">
        <v>7</v>
      </c>
      <c r="G1" s="875"/>
      <c r="H1" s="875"/>
      <c r="I1" s="875"/>
      <c r="J1" s="875"/>
      <c r="L1" s="873"/>
    </row>
    <row r="2" spans="1:12" s="874" customFormat="1" ht="16.2">
      <c r="A2" s="876" t="s">
        <v>2630</v>
      </c>
      <c r="B2" s="873"/>
      <c r="E2" s="874" t="b">
        <f>xxNumOfTeams&gt;0</f>
        <v>1</v>
      </c>
      <c r="F2" s="873" t="s">
        <v>2633</v>
      </c>
      <c r="G2" s="875"/>
      <c r="H2" s="875"/>
      <c r="I2" s="875"/>
      <c r="J2" s="875"/>
      <c r="L2" s="873"/>
    </row>
    <row r="3" spans="1:12" s="539" customFormat="1">
      <c r="A3" s="538"/>
      <c r="B3" s="538" t="s">
        <v>982</v>
      </c>
    </row>
    <row r="4" spans="1:12">
      <c r="C4" s="541"/>
      <c r="D4" s="541"/>
      <c r="E4" s="541"/>
      <c r="F4" s="541"/>
      <c r="G4" s="541"/>
      <c r="H4" s="541"/>
      <c r="I4" s="541"/>
      <c r="J4" s="541"/>
      <c r="K4" s="541"/>
    </row>
    <row r="5" spans="1:12">
      <c r="B5" s="540" t="s">
        <v>358</v>
      </c>
      <c r="C5" s="542" t="s">
        <v>382</v>
      </c>
      <c r="E5" s="542"/>
      <c r="F5" s="543"/>
      <c r="G5" s="543"/>
      <c r="H5" s="543"/>
      <c r="J5" s="543"/>
      <c r="K5" s="543"/>
    </row>
    <row r="6" spans="1:12">
      <c r="E6" s="540"/>
    </row>
    <row r="7" spans="1:12" s="545" customFormat="1">
      <c r="A7" s="544"/>
      <c r="B7" s="545" t="s">
        <v>356</v>
      </c>
      <c r="F7" s="546"/>
      <c r="G7" s="546"/>
      <c r="H7" s="546"/>
      <c r="J7" s="546"/>
      <c r="K7" s="546"/>
      <c r="L7" s="546"/>
    </row>
    <row r="8" spans="1:12">
      <c r="E8" s="540"/>
    </row>
    <row r="9" spans="1:12">
      <c r="B9" s="547" t="s">
        <v>383</v>
      </c>
      <c r="C9" s="547"/>
      <c r="D9" s="547"/>
      <c r="E9" s="547"/>
      <c r="F9" s="548" t="s">
        <v>384</v>
      </c>
    </row>
    <row r="10" spans="1:12">
      <c r="B10" s="549"/>
      <c r="C10" s="550" t="s">
        <v>385</v>
      </c>
      <c r="E10" s="540"/>
      <c r="F10" s="551"/>
      <c r="G10" s="550" t="s">
        <v>386</v>
      </c>
    </row>
    <row r="11" spans="1:12">
      <c r="B11" s="552"/>
      <c r="C11" s="550" t="s">
        <v>354</v>
      </c>
      <c r="E11" s="540"/>
    </row>
    <row r="12" spans="1:12">
      <c r="B12" s="553"/>
      <c r="C12" s="550" t="s">
        <v>387</v>
      </c>
      <c r="E12" s="540"/>
    </row>
    <row r="14" spans="1:12" s="545" customFormat="1" ht="18.75" customHeight="1">
      <c r="A14" s="544"/>
      <c r="B14" s="555" t="s">
        <v>981</v>
      </c>
      <c r="F14" s="546"/>
      <c r="G14" s="546"/>
      <c r="H14" s="546"/>
      <c r="J14" s="546"/>
      <c r="K14" s="546"/>
      <c r="L14" s="546"/>
    </row>
    <row r="16" spans="1:12">
      <c r="B16" s="1304" t="s">
        <v>1002</v>
      </c>
      <c r="C16" s="1304"/>
      <c r="D16" s="1304"/>
      <c r="E16" s="1304"/>
    </row>
    <row r="17" spans="1:12">
      <c r="E17" s="556" t="s">
        <v>7</v>
      </c>
    </row>
    <row r="18" spans="1:12">
      <c r="B18" s="540" t="s">
        <v>979</v>
      </c>
      <c r="E18" s="557">
        <f t="shared" ref="E18" si="0">obalHeadcount</f>
        <v>2400</v>
      </c>
    </row>
    <row r="20" spans="1:12">
      <c r="B20" s="540" t="s">
        <v>980</v>
      </c>
      <c r="E20" s="558">
        <f>obalExecution</f>
        <v>0.7</v>
      </c>
    </row>
    <row r="21" spans="1:12">
      <c r="B21" s="540" t="s">
        <v>978</v>
      </c>
      <c r="E21" s="559">
        <f>ROUND((E20*E18)/5,0)*5</f>
        <v>1680</v>
      </c>
      <c r="F21" s="540" t="s">
        <v>1004</v>
      </c>
    </row>
    <row r="23" spans="1:12">
      <c r="B23" s="1304" t="s">
        <v>50</v>
      </c>
      <c r="C23" s="1304"/>
      <c r="D23" s="1304"/>
      <c r="E23" s="1304"/>
    </row>
    <row r="24" spans="1:12">
      <c r="B24" s="560" t="s">
        <v>1007</v>
      </c>
      <c r="C24" s="561"/>
      <c r="D24" s="561"/>
      <c r="E24" s="562">
        <f t="shared" ref="E24" si="1">E21</f>
        <v>1680</v>
      </c>
      <c r="F24" s="540" t="s">
        <v>1008</v>
      </c>
    </row>
    <row r="25" spans="1:12" ht="19.8" thickBot="1"/>
    <row r="26" spans="1:12" ht="19.8" thickBot="1">
      <c r="B26" s="563" t="s">
        <v>977</v>
      </c>
      <c r="C26" s="564"/>
      <c r="D26" s="564"/>
      <c r="E26" s="565">
        <f>ROUND(E24,3)</f>
        <v>1680</v>
      </c>
      <c r="F26" s="566" t="s">
        <v>1009</v>
      </c>
    </row>
    <row r="28" spans="1:12" s="545" customFormat="1" ht="18.75" customHeight="1">
      <c r="A28" s="544"/>
      <c r="B28" s="555" t="s">
        <v>1364</v>
      </c>
      <c r="F28" s="546"/>
      <c r="G28" s="546"/>
      <c r="H28" s="546"/>
      <c r="J28" s="546"/>
      <c r="K28" s="546"/>
      <c r="L28" s="546"/>
    </row>
    <row r="30" spans="1:12">
      <c r="B30" s="540" t="s">
        <v>1368</v>
      </c>
      <c r="E30" s="567">
        <f t="shared" ref="E30" si="2">obalETUs</f>
        <v>200</v>
      </c>
      <c r="F30" s="540" t="s">
        <v>1369</v>
      </c>
    </row>
    <row r="31" spans="1:12">
      <c r="B31" s="547"/>
      <c r="E31" s="568"/>
    </row>
    <row r="32" spans="1:12">
      <c r="B32" s="540" t="s">
        <v>450</v>
      </c>
      <c r="E32" s="567">
        <f t="shared" ref="E32" si="3">VLOOKUP(decEGSecurity,dataTablePlatformInvestments,2,FALSE)</f>
        <v>0</v>
      </c>
      <c r="F32" s="540" t="s">
        <v>1373</v>
      </c>
    </row>
    <row r="33" spans="1:12">
      <c r="B33" s="540" t="s">
        <v>451</v>
      </c>
      <c r="E33" s="567">
        <f t="shared" ref="E33" si="4">VLOOKUP(decEGScalability,dataTablePlatformInvestments,2,FALSE)</f>
        <v>0</v>
      </c>
      <c r="F33" s="540" t="s">
        <v>1374</v>
      </c>
    </row>
    <row r="34" spans="1:12">
      <c r="B34" s="540" t="s">
        <v>453</v>
      </c>
      <c r="E34" s="567">
        <f t="shared" ref="E34" si="5">VLOOKUP(decEGInteroperability,dataTablePlatformInvestments,2,FALSE)</f>
        <v>0</v>
      </c>
      <c r="F34" s="540" t="s">
        <v>1375</v>
      </c>
    </row>
    <row r="35" spans="1:12">
      <c r="B35" s="540" t="str">
        <f>nmProd1Offering1</f>
        <v>Workspace 365</v>
      </c>
      <c r="E35" s="567">
        <f t="shared" ref="E35" si="6">VLOOKUP(decEGProd1Offering1,dataTableOfferingInvestments,2,FALSE)</f>
        <v>0</v>
      </c>
      <c r="F35" s="540" t="s">
        <v>1376</v>
      </c>
    </row>
    <row r="36" spans="1:12">
      <c r="B36" s="540" t="str">
        <f>nmProd1Offering2</f>
        <v>Dynamo 365</v>
      </c>
      <c r="E36" s="567">
        <f t="shared" ref="E36" si="7">VLOOKUP(decEGProd1Offering2,dataTableOfferingInvestments,2,FALSE)</f>
        <v>0</v>
      </c>
      <c r="F36" s="540" t="s">
        <v>1377</v>
      </c>
    </row>
    <row r="37" spans="1:12">
      <c r="B37" s="540" t="str">
        <f>nmProd2Offering1</f>
        <v>Azul Infrastructure</v>
      </c>
      <c r="E37" s="567">
        <f t="shared" ref="E37" si="8">VLOOKUP(decEGProd2Offering1,dataTableOfferingInvestments,2,FALSE)</f>
        <v>0</v>
      </c>
      <c r="F37" s="540" t="s">
        <v>1378</v>
      </c>
    </row>
    <row r="38" spans="1:12">
      <c r="B38" s="540" t="str">
        <f>nmProd2Offering2</f>
        <v>Azul Data, Applications, and AI</v>
      </c>
      <c r="E38" s="567">
        <f t="shared" ref="E38" si="9">VLOOKUP(decEGProd2Offering2,dataTableOfferingInvestments,2,FALSE)</f>
        <v>0</v>
      </c>
      <c r="F38" s="540" t="s">
        <v>1379</v>
      </c>
    </row>
    <row r="39" spans="1:12">
      <c r="B39" s="540" t="str">
        <f>nmProd3Offering1</f>
        <v>Doors OS</v>
      </c>
      <c r="E39" s="567">
        <f t="shared" ref="E39" si="10">VLOOKUP(decEGProd3Offering1,dataTableOfferingInvestments,2,FALSE)</f>
        <v>0</v>
      </c>
      <c r="F39" s="540" t="s">
        <v>1380</v>
      </c>
    </row>
    <row r="40" spans="1:12">
      <c r="B40" s="540" t="str">
        <f>nmProd3Offering2</f>
        <v>Devices</v>
      </c>
      <c r="E40" s="567">
        <f t="shared" ref="E40" si="11">VLOOKUP(decEGProd3Offering2,dataTableOfferingInvestments,2,FALSE)</f>
        <v>0</v>
      </c>
      <c r="F40" s="540" t="s">
        <v>1381</v>
      </c>
    </row>
    <row r="41" spans="1:12">
      <c r="B41" s="547" t="s">
        <v>1370</v>
      </c>
      <c r="E41" s="569">
        <f t="shared" ref="E41" si="12">SUM(E32:E40)</f>
        <v>0</v>
      </c>
      <c r="F41" s="540" t="s">
        <v>1382</v>
      </c>
    </row>
    <row r="42" spans="1:12">
      <c r="E42" s="568"/>
    </row>
    <row r="43" spans="1:12">
      <c r="B43" s="547" t="s">
        <v>1371</v>
      </c>
      <c r="E43" s="576">
        <f t="shared" ref="E43" si="13">calcETUsAvailable-calcEGTotalETUs</f>
        <v>200</v>
      </c>
      <c r="F43" s="540" t="s">
        <v>1372</v>
      </c>
    </row>
    <row r="45" spans="1:12" s="545" customFormat="1" ht="18.75" customHeight="1">
      <c r="A45" s="544"/>
      <c r="B45" s="555" t="s">
        <v>1013</v>
      </c>
      <c r="F45" s="546"/>
      <c r="G45" s="546"/>
      <c r="H45" s="546"/>
      <c r="J45" s="546"/>
      <c r="K45" s="546"/>
      <c r="L45" s="546"/>
    </row>
    <row r="47" spans="1:12">
      <c r="B47" s="540" t="s">
        <v>1014</v>
      </c>
      <c r="E47" s="567">
        <f t="shared" ref="E47" si="14">calcTotalFTEs</f>
        <v>1680</v>
      </c>
      <c r="F47" s="540" t="s">
        <v>1071</v>
      </c>
    </row>
    <row r="48" spans="1:12">
      <c r="E48" s="568"/>
    </row>
    <row r="49" spans="2:6">
      <c r="B49" s="547" t="s">
        <v>1086</v>
      </c>
      <c r="E49" s="568"/>
    </row>
    <row r="50" spans="2:6">
      <c r="B50" s="540" t="s">
        <v>1061</v>
      </c>
      <c r="E50" s="567">
        <f t="shared" ref="E50" si="15">decOpsCollabFTEs</f>
        <v>10</v>
      </c>
      <c r="F50" s="540" t="s">
        <v>1065</v>
      </c>
    </row>
    <row r="51" spans="2:6">
      <c r="B51" s="540" t="s">
        <v>490</v>
      </c>
      <c r="E51" s="567">
        <f t="shared" ref="E51" si="16">decOpsITFTEs</f>
        <v>15</v>
      </c>
      <c r="F51" s="540" t="s">
        <v>1066</v>
      </c>
    </row>
    <row r="52" spans="2:6">
      <c r="B52" s="540" t="s">
        <v>3209</v>
      </c>
      <c r="E52" s="567">
        <f t="shared" ref="E52" si="17">decOpsGlobalDemandCenterFTEs</f>
        <v>40</v>
      </c>
      <c r="F52" s="540" t="s">
        <v>3265</v>
      </c>
    </row>
    <row r="53" spans="2:6">
      <c r="B53" s="540" t="s">
        <v>489</v>
      </c>
      <c r="E53" s="567">
        <f t="shared" ref="E53" si="18">decOpsSupplyChainFTEs</f>
        <v>10</v>
      </c>
      <c r="F53" s="540" t="s">
        <v>1067</v>
      </c>
    </row>
    <row r="54" spans="2:6">
      <c r="B54" s="547" t="s">
        <v>1068</v>
      </c>
      <c r="E54" s="569">
        <f t="shared" ref="E54" si="19">SUM(E50:E53)</f>
        <v>75</v>
      </c>
      <c r="F54" s="540" t="s">
        <v>1069</v>
      </c>
    </row>
    <row r="55" spans="2:6">
      <c r="E55" s="568"/>
    </row>
    <row r="56" spans="2:6">
      <c r="B56" s="547" t="s">
        <v>494</v>
      </c>
      <c r="E56" s="568"/>
    </row>
    <row r="57" spans="2:6">
      <c r="B57" s="540" t="s">
        <v>420</v>
      </c>
      <c r="E57" s="567">
        <f t="shared" ref="E57" si="20">decCommercialDirectSalesFTEs</f>
        <v>250</v>
      </c>
      <c r="F57" s="540" t="s">
        <v>1145</v>
      </c>
    </row>
    <row r="58" spans="2:6">
      <c r="B58" s="540" t="s">
        <v>421</v>
      </c>
      <c r="E58" s="567">
        <f t="shared" ref="E58" si="21">decCommercialInsideSalesFTEs</f>
        <v>125</v>
      </c>
      <c r="F58" s="540" t="s">
        <v>1146</v>
      </c>
    </row>
    <row r="59" spans="2:6">
      <c r="B59" s="540" t="s">
        <v>1778</v>
      </c>
      <c r="E59" s="567">
        <f t="shared" ref="E59" si="22">decCommercialServicesFTEs</f>
        <v>90</v>
      </c>
      <c r="F59" s="540" t="s">
        <v>1779</v>
      </c>
    </row>
    <row r="60" spans="2:6">
      <c r="B60" s="540" t="str">
        <f>nmSkill1</f>
        <v>Technical Expertise</v>
      </c>
      <c r="E60" s="567">
        <f t="shared" ref="E60" si="23">VLOOKUP(decCommercialSkill1,dataTableSkillsInvestments,2,FALSE)</f>
        <v>0</v>
      </c>
      <c r="F60" s="540" t="s">
        <v>2610</v>
      </c>
    </row>
    <row r="61" spans="2:6">
      <c r="B61" s="540" t="str">
        <f>nmSkill2</f>
        <v>Consultative Skills</v>
      </c>
      <c r="E61" s="567">
        <f t="shared" ref="E61" si="24">VLOOKUP(decCommercialSkill2,dataTableSkillsInvestments,2,FALSE)</f>
        <v>0</v>
      </c>
      <c r="F61" s="540" t="s">
        <v>2611</v>
      </c>
    </row>
    <row r="62" spans="2:6">
      <c r="B62" s="540" t="str">
        <f>nmSkill3</f>
        <v>Industry Expertise</v>
      </c>
      <c r="E62" s="567">
        <f t="shared" ref="E62" si="25">VLOOKUP(decCommercialSkill3,dataTableSkillsInvestments,2,FALSE)</f>
        <v>0</v>
      </c>
      <c r="F62" s="540" t="s">
        <v>2612</v>
      </c>
    </row>
    <row r="63" spans="2:6">
      <c r="B63" s="540" t="s">
        <v>495</v>
      </c>
      <c r="E63" s="567">
        <f t="shared" ref="E63" si="26">VLOOKUP(decCommercialPartnerDevelopment,dataTablePartnerActivity,2,FALSE)</f>
        <v>0</v>
      </c>
      <c r="F63" s="540" t="s">
        <v>1142</v>
      </c>
    </row>
    <row r="64" spans="2:6">
      <c r="B64" s="540" t="s">
        <v>426</v>
      </c>
      <c r="E64" s="567">
        <f t="shared" ref="E64" si="27">VLOOKUP(decCommercialPartnerIncentives,dataTablePartnerActivity,2,FALSE)</f>
        <v>0</v>
      </c>
      <c r="F64" s="540" t="s">
        <v>1143</v>
      </c>
    </row>
    <row r="65" spans="2:6">
      <c r="B65" s="540" t="s">
        <v>425</v>
      </c>
      <c r="E65" s="567">
        <f t="shared" ref="E65" si="28">VLOOKUP(decCommercialPartnerEducation,dataTablePartnerActivity,2,FALSE)</f>
        <v>0</v>
      </c>
      <c r="F65" s="540" t="s">
        <v>1144</v>
      </c>
    </row>
    <row r="66" spans="2:6">
      <c r="B66" s="547" t="s">
        <v>1148</v>
      </c>
      <c r="E66" s="569">
        <f t="shared" ref="E66" si="29">SUM(E57:E65)</f>
        <v>465</v>
      </c>
      <c r="F66" s="540" t="s">
        <v>1147</v>
      </c>
    </row>
    <row r="67" spans="2:6">
      <c r="E67" s="568"/>
    </row>
    <row r="68" spans="2:6">
      <c r="B68" s="547" t="s">
        <v>365</v>
      </c>
      <c r="E68" s="568"/>
    </row>
    <row r="69" spans="2:6">
      <c r="B69" s="540" t="s">
        <v>420</v>
      </c>
      <c r="E69" s="567">
        <f t="shared" ref="E69" si="30">decConsumerDirectSalesFTEs</f>
        <v>190</v>
      </c>
      <c r="F69" s="540" t="s">
        <v>1152</v>
      </c>
    </row>
    <row r="70" spans="2:6">
      <c r="B70" s="540" t="s">
        <v>421</v>
      </c>
      <c r="E70" s="567">
        <f t="shared" ref="E70" si="31">decConsumerInsideSalesFTEs</f>
        <v>90</v>
      </c>
      <c r="F70" s="540" t="s">
        <v>1153</v>
      </c>
    </row>
    <row r="71" spans="2:6">
      <c r="B71" s="540" t="s">
        <v>422</v>
      </c>
      <c r="E71" s="567">
        <f t="shared" ref="E71" si="32">decConsumerServicesFTEs</f>
        <v>110</v>
      </c>
      <c r="F71" s="540" t="s">
        <v>1154</v>
      </c>
    </row>
    <row r="72" spans="2:6">
      <c r="B72" s="540" t="str">
        <f>nmSkill1</f>
        <v>Technical Expertise</v>
      </c>
      <c r="E72" s="567">
        <f t="shared" ref="E72" si="33">VLOOKUP(decConsumerSkill1,dataTableSkillsInvestments,2,FALSE)</f>
        <v>0</v>
      </c>
      <c r="F72" s="540" t="s">
        <v>2613</v>
      </c>
    </row>
    <row r="73" spans="2:6">
      <c r="B73" s="540" t="str">
        <f>nmSkill2</f>
        <v>Consultative Skills</v>
      </c>
      <c r="E73" s="567">
        <f t="shared" ref="E73" si="34">VLOOKUP(decConsumerSkill2,dataTableSkillsInvestments,2,FALSE)</f>
        <v>0</v>
      </c>
      <c r="F73" s="540" t="s">
        <v>2614</v>
      </c>
    </row>
    <row r="74" spans="2:6">
      <c r="B74" s="540" t="s">
        <v>495</v>
      </c>
      <c r="E74" s="567">
        <f t="shared" ref="E74" si="35">VLOOKUP(decConsumerPartnerDevelopment,dataTablePartnerActivity,2,FALSE)</f>
        <v>0</v>
      </c>
      <c r="F74" s="540" t="s">
        <v>1149</v>
      </c>
    </row>
    <row r="75" spans="2:6">
      <c r="B75" s="540" t="s">
        <v>426</v>
      </c>
      <c r="E75" s="567">
        <f t="shared" ref="E75" si="36">VLOOKUP(decConsumerPartnerIncentives,dataTablePartnerActivity,2,FALSE)</f>
        <v>0</v>
      </c>
      <c r="F75" s="540" t="s">
        <v>1150</v>
      </c>
    </row>
    <row r="76" spans="2:6">
      <c r="B76" s="540" t="s">
        <v>425</v>
      </c>
      <c r="E76" s="567">
        <f t="shared" ref="E76" si="37">VLOOKUP(decConsumerPartnerEducation,dataTablePartnerActivity,2,FALSE)</f>
        <v>0</v>
      </c>
      <c r="F76" s="540" t="s">
        <v>1151</v>
      </c>
    </row>
    <row r="77" spans="2:6">
      <c r="B77" s="547" t="s">
        <v>1062</v>
      </c>
      <c r="E77" s="569">
        <f>SUM(E69:E76)</f>
        <v>390</v>
      </c>
      <c r="F77" s="540" t="s">
        <v>1155</v>
      </c>
    </row>
    <row r="78" spans="2:6">
      <c r="E78" s="568"/>
    </row>
    <row r="79" spans="2:6">
      <c r="B79" s="547" t="s">
        <v>986</v>
      </c>
      <c r="E79" s="569">
        <f t="shared" ref="E79" si="38">paramChallengeFTEs</f>
        <v>0</v>
      </c>
      <c r="F79" s="540" t="s">
        <v>2657</v>
      </c>
    </row>
    <row r="80" spans="2:6">
      <c r="E80" s="568"/>
    </row>
    <row r="81" spans="1:12">
      <c r="B81" s="547" t="s">
        <v>1070</v>
      </c>
      <c r="E81" s="569">
        <f t="shared" ref="E81" si="39">calcFTEsAvailable-calcConsumerTotalFTEs-calcCommercialTotalFTEs-calcOpsTotalFTEs-calcChallengeFTEs</f>
        <v>750</v>
      </c>
      <c r="F81" s="540" t="s">
        <v>1072</v>
      </c>
    </row>
    <row r="83" spans="1:12" s="545" customFormat="1" ht="18.75" customHeight="1">
      <c r="A83" s="544"/>
      <c r="B83" s="555" t="s">
        <v>1081</v>
      </c>
      <c r="F83" s="546"/>
      <c r="G83" s="546"/>
      <c r="H83" s="546"/>
      <c r="J83" s="546"/>
      <c r="K83" s="546"/>
      <c r="L83" s="546"/>
    </row>
    <row r="85" spans="1:12">
      <c r="B85" s="547" t="s">
        <v>1167</v>
      </c>
    </row>
    <row r="86" spans="1:12">
      <c r="B86" s="540" t="s">
        <v>487</v>
      </c>
      <c r="E86" s="570">
        <f t="shared" ref="E86" si="40">decOpsTotalMarketingBudget</f>
        <v>1500000</v>
      </c>
      <c r="F86" s="540" t="s">
        <v>1165</v>
      </c>
    </row>
    <row r="87" spans="1:12">
      <c r="B87" s="540" t="s">
        <v>1085</v>
      </c>
      <c r="E87" s="570">
        <f t="shared" ref="E87" si="41">(calcCommercialSkill1FTEs+calcCommercialSkill2FTEs+calcCommercialSkill3FTEs+calcConsumerSkill1FTEs+calcConsumerSkill2FTEs+calcChallengeFTEs)*paramOpsSalary</f>
        <v>0</v>
      </c>
      <c r="F87" s="540" t="s">
        <v>1592</v>
      </c>
    </row>
    <row r="88" spans="1:12">
      <c r="B88" s="540" t="s">
        <v>1593</v>
      </c>
      <c r="E88" s="570">
        <f t="shared" ref="E88" si="42">(calcOpsCollabFTEs)*paramOpsSalary</f>
        <v>800000</v>
      </c>
      <c r="F88" s="540" t="s">
        <v>1594</v>
      </c>
    </row>
    <row r="89" spans="1:12">
      <c r="B89" s="540" t="s">
        <v>1169</v>
      </c>
      <c r="E89" s="570">
        <f t="shared" ref="E89" si="43">calcOpsITFTEs*paramUnallocatedSalary</f>
        <v>1050000</v>
      </c>
      <c r="F89" s="540" t="s">
        <v>1216</v>
      </c>
    </row>
    <row r="90" spans="1:12">
      <c r="B90" s="540" t="s">
        <v>3267</v>
      </c>
      <c r="E90" s="570">
        <f t="shared" ref="E90" si="44">calcOpsGlobalDemandCenterFTEs*paramUnallocatedSalary</f>
        <v>2800000</v>
      </c>
      <c r="F90" s="540" t="s">
        <v>3266</v>
      </c>
    </row>
    <row r="91" spans="1:12">
      <c r="B91" s="540" t="s">
        <v>1170</v>
      </c>
      <c r="E91" s="570">
        <f t="shared" ref="E91" si="45">calcOpsSupplyChainFTEs*paramUnallocatedSalary</f>
        <v>700000</v>
      </c>
      <c r="F91" s="540" t="s">
        <v>1217</v>
      </c>
    </row>
    <row r="92" spans="1:12">
      <c r="B92" s="540" t="s">
        <v>1590</v>
      </c>
      <c r="E92" s="570">
        <f t="shared" ref="E92" si="46">calcFTEsRemaining*paramUnallocatedSalary</f>
        <v>52500000</v>
      </c>
      <c r="F92" s="540" t="s">
        <v>1591</v>
      </c>
    </row>
    <row r="93" spans="1:12">
      <c r="B93" s="547" t="s">
        <v>1168</v>
      </c>
      <c r="E93" s="571">
        <f>SUM(E86:E92)</f>
        <v>59350000</v>
      </c>
      <c r="F93" s="540" t="s">
        <v>1166</v>
      </c>
    </row>
    <row r="95" spans="1:12">
      <c r="B95" s="547" t="s">
        <v>494</v>
      </c>
    </row>
    <row r="96" spans="1:12">
      <c r="B96" s="540" t="s">
        <v>1073</v>
      </c>
      <c r="E96" s="570">
        <f t="shared" ref="E96" si="47">calcCommercialDirectSalesFTEs*paramDirectSalesSalary</f>
        <v>25000000</v>
      </c>
      <c r="F96" s="540" t="s">
        <v>1156</v>
      </c>
    </row>
    <row r="97" spans="2:6">
      <c r="B97" s="540" t="s">
        <v>1074</v>
      </c>
      <c r="E97" s="570">
        <f t="shared" ref="E97" si="48">calcCommercialInsideSalesFTEs*paramInsideSalesSalary</f>
        <v>10000000</v>
      </c>
      <c r="F97" s="540" t="s">
        <v>1157</v>
      </c>
    </row>
    <row r="98" spans="2:6">
      <c r="B98" s="540" t="s">
        <v>1780</v>
      </c>
      <c r="E98" s="570">
        <f t="shared" ref="E98" si="49">calcCommercialServicesPremierFTEs*paramServicesSalary</f>
        <v>9000000</v>
      </c>
      <c r="F98" s="540" t="s">
        <v>1781</v>
      </c>
    </row>
    <row r="99" spans="2:6">
      <c r="B99" s="540" t="str">
        <f>nmSkill1</f>
        <v>Technical Expertise</v>
      </c>
      <c r="E99" s="570">
        <f t="shared" ref="E99" si="50">VLOOKUP(decCommercialSkill1,dataTableSkillsInvestments,3,FALSE)</f>
        <v>0</v>
      </c>
      <c r="F99" s="540" t="s">
        <v>2615</v>
      </c>
    </row>
    <row r="100" spans="2:6">
      <c r="B100" s="540" t="str">
        <f>nmSkill2</f>
        <v>Consultative Skills</v>
      </c>
      <c r="E100" s="570">
        <f t="shared" ref="E100" si="51">VLOOKUP(decCommercialSkill2,dataTableSkillsInvestments,3,FALSE)</f>
        <v>0</v>
      </c>
      <c r="F100" s="540" t="s">
        <v>2616</v>
      </c>
    </row>
    <row r="101" spans="2:6">
      <c r="B101" s="540" t="str">
        <f>nmSkill3</f>
        <v>Industry Expertise</v>
      </c>
      <c r="E101" s="570">
        <f t="shared" ref="E101" si="52">VLOOKUP(decCommercialSkill3,dataTableSkillsInvestments,3,FALSE)</f>
        <v>0</v>
      </c>
      <c r="F101" s="540" t="s">
        <v>2617</v>
      </c>
    </row>
    <row r="102" spans="2:6">
      <c r="B102" s="540" t="s">
        <v>495</v>
      </c>
      <c r="E102" s="570">
        <f t="shared" ref="E102" si="53">VLOOKUP(decCommercialPartnerDevelopment,dataTablePartnerActivity,3,FALSE)</f>
        <v>0</v>
      </c>
      <c r="F102" s="540" t="s">
        <v>1246</v>
      </c>
    </row>
    <row r="103" spans="2:6">
      <c r="B103" s="540" t="s">
        <v>426</v>
      </c>
      <c r="E103" s="570">
        <f t="shared" ref="E103" si="54">VLOOKUP(decCommercialPartnerIncentives,dataTablePartnerActivity,3,FALSE)</f>
        <v>0</v>
      </c>
      <c r="F103" s="540" t="s">
        <v>1247</v>
      </c>
    </row>
    <row r="104" spans="2:6">
      <c r="B104" s="540" t="s">
        <v>425</v>
      </c>
      <c r="E104" s="570">
        <f t="shared" ref="E104" si="55">VLOOKUP(decCommercialPartnerEducation,dataTablePartnerActivity,3,FALSE)</f>
        <v>0</v>
      </c>
      <c r="F104" s="540" t="s">
        <v>1248</v>
      </c>
    </row>
    <row r="105" spans="2:6">
      <c r="B105" s="540" t="s">
        <v>1254</v>
      </c>
      <c r="E105" s="570">
        <f t="shared" ref="E105" si="56">paramFixedPartnerBudget</f>
        <v>2500000</v>
      </c>
      <c r="F105" s="540" t="s">
        <v>1249</v>
      </c>
    </row>
    <row r="106" spans="2:6">
      <c r="B106" s="540" t="s">
        <v>1584</v>
      </c>
      <c r="E106" s="570">
        <f t="shared" ref="E106" si="57">paramPartnerSalary*(calcCommercialPartnerDevelopmentFTEs+calcCommercialPartnerIncentivesFTEs+calcCommercialPartnerEducationFTEs)</f>
        <v>0</v>
      </c>
      <c r="F106" s="540" t="s">
        <v>1585</v>
      </c>
    </row>
    <row r="107" spans="2:6">
      <c r="B107" s="547" t="s">
        <v>1158</v>
      </c>
      <c r="E107" s="571">
        <f t="shared" ref="E107" si="58">SUM(E96:E105)</f>
        <v>46500000</v>
      </c>
      <c r="F107" s="540" t="s">
        <v>1159</v>
      </c>
    </row>
    <row r="109" spans="2:6">
      <c r="B109" s="547" t="s">
        <v>365</v>
      </c>
    </row>
    <row r="110" spans="2:6">
      <c r="B110" s="540" t="s">
        <v>1073</v>
      </c>
      <c r="E110" s="570">
        <f t="shared" ref="E110" si="59">calcConsumerDirectSalesFTEs*paramDirectSalesSalary</f>
        <v>19000000</v>
      </c>
      <c r="F110" s="540" t="s">
        <v>1160</v>
      </c>
    </row>
    <row r="111" spans="2:6">
      <c r="B111" s="540" t="s">
        <v>1074</v>
      </c>
      <c r="E111" s="570">
        <f t="shared" ref="E111" si="60">calcConsumerInsideSalesFTEs*paramInsideSalesSalary</f>
        <v>7200000</v>
      </c>
      <c r="F111" s="540" t="s">
        <v>1161</v>
      </c>
    </row>
    <row r="112" spans="2:6">
      <c r="B112" s="540" t="s">
        <v>1075</v>
      </c>
      <c r="E112" s="570">
        <f t="shared" ref="E112" si="61">calcConsumerServicesFTEs*paramServicesSalary</f>
        <v>11000000</v>
      </c>
      <c r="F112" s="540" t="s">
        <v>1162</v>
      </c>
    </row>
    <row r="113" spans="1:12">
      <c r="B113" s="540" t="str">
        <f>nmSkill1</f>
        <v>Technical Expertise</v>
      </c>
      <c r="E113" s="570">
        <f t="shared" ref="E113" si="62">VLOOKUP(decConsumerSkill1,dataTableSkillsInvestments,3,FALSE)</f>
        <v>0</v>
      </c>
      <c r="F113" s="540" t="s">
        <v>2618</v>
      </c>
    </row>
    <row r="114" spans="1:12">
      <c r="B114" s="540" t="str">
        <f>nmSkill2</f>
        <v>Consultative Skills</v>
      </c>
      <c r="E114" s="570">
        <f t="shared" ref="E114" si="63">VLOOKUP(decConsumerSkill2,dataTableSkillsInvestments,3,FALSE)</f>
        <v>0</v>
      </c>
      <c r="F114" s="540" t="s">
        <v>2619</v>
      </c>
    </row>
    <row r="115" spans="1:12">
      <c r="B115" s="540" t="s">
        <v>495</v>
      </c>
      <c r="E115" s="570">
        <f t="shared" ref="E115" si="64">VLOOKUP(decConsumerPartnerDevelopment,dataTablePartnerActivity,3,FALSE)</f>
        <v>0</v>
      </c>
      <c r="F115" s="540" t="s">
        <v>1250</v>
      </c>
    </row>
    <row r="116" spans="1:12">
      <c r="B116" s="540" t="s">
        <v>426</v>
      </c>
      <c r="E116" s="570">
        <f t="shared" ref="E116" si="65">VLOOKUP(decConsumerPartnerIncentives,dataTablePartnerActivity,3,FALSE)</f>
        <v>0</v>
      </c>
      <c r="F116" s="540" t="s">
        <v>1251</v>
      </c>
    </row>
    <row r="117" spans="1:12">
      <c r="B117" s="540" t="s">
        <v>425</v>
      </c>
      <c r="E117" s="570">
        <f t="shared" ref="E117" si="66">VLOOKUP(decConsumerPartnerEducation,dataTablePartnerActivity,3,FALSE)</f>
        <v>0</v>
      </c>
      <c r="F117" s="540" t="s">
        <v>1252</v>
      </c>
    </row>
    <row r="118" spans="1:12">
      <c r="B118" s="540" t="s">
        <v>1254</v>
      </c>
      <c r="E118" s="570">
        <f t="shared" ref="E118" si="67">paramFixedPartnerBudget</f>
        <v>2500000</v>
      </c>
      <c r="F118" s="540" t="s">
        <v>1253</v>
      </c>
    </row>
    <row r="119" spans="1:12">
      <c r="B119" s="540" t="s">
        <v>1584</v>
      </c>
      <c r="E119" s="570">
        <f t="shared" ref="E119" si="68">paramPartnerSalary*(calcConsumerPartnerDevelopmentFTEs+calcConsumerPartnerIncentivesFTEs+calcConsumerPartnerEducationFTEs)</f>
        <v>0</v>
      </c>
      <c r="F119" s="540" t="s">
        <v>1589</v>
      </c>
    </row>
    <row r="120" spans="1:12">
      <c r="B120" s="547" t="s">
        <v>1163</v>
      </c>
      <c r="E120" s="571">
        <f>SUM(E110:E119)</f>
        <v>39700000</v>
      </c>
      <c r="F120" s="540" t="s">
        <v>1164</v>
      </c>
    </row>
    <row r="123" spans="1:12" s="545" customFormat="1" ht="18.75" customHeight="1">
      <c r="A123" s="544"/>
      <c r="B123" s="555" t="s">
        <v>1331</v>
      </c>
      <c r="F123" s="546"/>
      <c r="G123" s="546"/>
      <c r="H123" s="546"/>
      <c r="J123" s="546"/>
      <c r="K123" s="546"/>
      <c r="L123" s="546"/>
    </row>
    <row r="124" spans="1:12" s="572" customFormat="1">
      <c r="A124" s="572" t="str">
        <f>IF(Obal!A321=0,"",Obal!A321)</f>
        <v/>
      </c>
      <c r="B124" s="572" t="str">
        <f>IF(Obal!B321=0,"",Obal!B321)</f>
        <v/>
      </c>
      <c r="E124" s="573"/>
    </row>
    <row r="125" spans="1:12" s="572" customFormat="1">
      <c r="B125" s="572" t="s">
        <v>1245</v>
      </c>
      <c r="E125" s="571">
        <f t="shared" ref="E125" si="69">calcCommercialPartnerDevelopmentExp+calcCommercialPartnerIncentivesExp+calcCommercialPartnerEducationExp+calcCommercialFixedPartnerExp</f>
        <v>2500000</v>
      </c>
      <c r="F125" s="572" t="s">
        <v>1332</v>
      </c>
    </row>
    <row r="126" spans="1:12" s="572" customFormat="1">
      <c r="B126" s="572" t="str">
        <f>IF(Obal!B323=0,"",Obal!B323)</f>
        <v/>
      </c>
      <c r="E126" s="573"/>
    </row>
    <row r="127" spans="1:12" s="572" customFormat="1">
      <c r="B127" s="572" t="str">
        <f>nmPartner1&amp;" Partner Total Budget"</f>
        <v>ISV Partner Total Budget</v>
      </c>
      <c r="E127" s="570">
        <f t="shared" ref="E127" si="70">calcCommercialTotalPartnerBudget*decCommercialPartner1Pct</f>
        <v>625000</v>
      </c>
      <c r="F127" s="572" t="s">
        <v>1333</v>
      </c>
    </row>
    <row r="128" spans="1:12" s="572" customFormat="1">
      <c r="B128" s="572" t="str">
        <f>nmPartner2&amp;" Partner Total Budget"</f>
        <v>Systems Integrators Partner Total Budget</v>
      </c>
      <c r="E128" s="570">
        <f t="shared" ref="E128" si="71">calcCommercialTotalPartnerBudget*decCommercialPartner2Pct</f>
        <v>500000</v>
      </c>
      <c r="F128" s="572" t="s">
        <v>1334</v>
      </c>
    </row>
    <row r="129" spans="1:12" s="572" customFormat="1">
      <c r="B129" s="572" t="str">
        <f>nmPartner3&amp;" Partner Total Budget"</f>
        <v>Managed Services Partner Total Budget</v>
      </c>
      <c r="E129" s="570">
        <f t="shared" ref="E129" si="72">calcCommercialTotalPartnerBudget*decCommercialPartner3Pct</f>
        <v>550000</v>
      </c>
      <c r="F129" s="572" t="s">
        <v>1335</v>
      </c>
    </row>
    <row r="130" spans="1:12" s="572" customFormat="1">
      <c r="B130" s="572" t="str">
        <f>nmPartner4&amp;" Partner Total Budget"</f>
        <v>Channels Partner Total Budget</v>
      </c>
      <c r="E130" s="570">
        <f t="shared" ref="E130" si="73">calcCommercialTotalPartnerBudget*decCommercialPartner4Pct</f>
        <v>825000.00000000023</v>
      </c>
      <c r="F130" s="572" t="s">
        <v>1336</v>
      </c>
    </row>
    <row r="131" spans="1:12" s="572" customFormat="1">
      <c r="B131" s="572" t="str">
        <f>IF(Obal!B330=0,"",Obal!B330)</f>
        <v/>
      </c>
      <c r="E131" s="573"/>
    </row>
    <row r="132" spans="1:12" s="572" customFormat="1">
      <c r="B132" s="572" t="s">
        <v>1330</v>
      </c>
      <c r="E132" s="574">
        <f t="shared" ref="E132" si="74">calcCommercialPartnerDevelopmentFTEs+calcCommercialPartnerIncentivesFTEs+calcCommercialPartnerEducationFTEs</f>
        <v>0</v>
      </c>
      <c r="F132" s="572" t="s">
        <v>1337</v>
      </c>
    </row>
    <row r="133" spans="1:12" s="572" customFormat="1">
      <c r="B133" s="572" t="str">
        <f>IF(Obal!B332=0,"",Obal!B332)</f>
        <v/>
      </c>
      <c r="E133" s="573"/>
    </row>
    <row r="134" spans="1:12" s="572" customFormat="1">
      <c r="B134" s="572" t="str">
        <f>nmPartner1&amp;" Partner Total FTES"</f>
        <v>ISV Partner Total FTES</v>
      </c>
      <c r="E134" s="575">
        <f t="shared" ref="E134" si="75">ROUND(calcCommercialTotalPartnerFTEs*decCommercialPartner1Pct,0)</f>
        <v>0</v>
      </c>
      <c r="F134" s="572" t="s">
        <v>1338</v>
      </c>
    </row>
    <row r="135" spans="1:12" s="572" customFormat="1">
      <c r="B135" s="572" t="str">
        <f>nmPartner2&amp;" Partner Total FTES"</f>
        <v>Systems Integrators Partner Total FTES</v>
      </c>
      <c r="E135" s="575">
        <f t="shared" ref="E135" si="76">ROUND(calcCommercialTotalPartnerFTEs*decCommercialPartner2Pct,0)</f>
        <v>0</v>
      </c>
      <c r="F135" s="572" t="s">
        <v>1339</v>
      </c>
    </row>
    <row r="136" spans="1:12" s="572" customFormat="1">
      <c r="B136" s="572" t="str">
        <f>nmPartner3&amp;" Partner Total FTES"</f>
        <v>Managed Services Partner Total FTES</v>
      </c>
      <c r="E136" s="575">
        <f t="shared" ref="E136" si="77">ROUND(calcCommercialTotalPartnerFTEs*decCommercialPartner3Pct,0)</f>
        <v>0</v>
      </c>
      <c r="F136" s="572" t="s">
        <v>1340</v>
      </c>
    </row>
    <row r="137" spans="1:12" s="572" customFormat="1">
      <c r="B137" s="572" t="str">
        <f>nmPartner4&amp;" Partner Total FTES"</f>
        <v>Channels Partner Total FTES</v>
      </c>
      <c r="E137" s="575">
        <f t="shared" ref="E137" si="78">ROUND(calcCommercialTotalPartnerFTEs*decCommercialPartner4Pct,0)</f>
        <v>0</v>
      </c>
      <c r="F137" s="572" t="s">
        <v>1341</v>
      </c>
    </row>
    <row r="139" spans="1:12" s="545" customFormat="1" ht="18.75" customHeight="1">
      <c r="A139" s="544"/>
      <c r="B139" s="555" t="s">
        <v>1342</v>
      </c>
      <c r="F139" s="546"/>
      <c r="G139" s="546"/>
      <c r="H139" s="546"/>
      <c r="J139" s="546"/>
      <c r="K139" s="546"/>
      <c r="L139" s="546"/>
    </row>
    <row r="140" spans="1:12" s="572" customFormat="1">
      <c r="A140" s="572" t="str">
        <f>IF(Obal!A341=0,"",Obal!A341)</f>
        <v/>
      </c>
      <c r="B140" s="572" t="str">
        <f>IF(Obal!B341=0,"",Obal!B341)</f>
        <v/>
      </c>
      <c r="E140" s="573"/>
    </row>
    <row r="141" spans="1:12" s="572" customFormat="1">
      <c r="B141" s="572" t="s">
        <v>1245</v>
      </c>
      <c r="E141" s="571">
        <f t="shared" ref="E141" si="79">calcConsumerPartnerDevelopmentExp+calcConsumerPartnerIncentivesExp+calcConsumerPartnerEducationExp+calcConsumerFixedPartnerExp</f>
        <v>2500000</v>
      </c>
      <c r="F141" s="572" t="s">
        <v>1343</v>
      </c>
    </row>
    <row r="142" spans="1:12" s="572" customFormat="1">
      <c r="B142" s="572" t="str">
        <f>IF(Obal!B343=0,"",Obal!B343)</f>
        <v/>
      </c>
      <c r="E142" s="573"/>
    </row>
    <row r="143" spans="1:12" s="572" customFormat="1">
      <c r="B143" s="572" t="str">
        <f>nmPartner4&amp;" Partner Budget"</f>
        <v>Channels Partner Budget</v>
      </c>
      <c r="E143" s="570">
        <f t="shared" ref="E143" si="80">calcConsumerTotalPartnerBudget*decConsumerPartner4Pct</f>
        <v>825000</v>
      </c>
      <c r="F143" s="572" t="s">
        <v>1344</v>
      </c>
    </row>
    <row r="144" spans="1:12" s="572" customFormat="1">
      <c r="B144" s="572" t="str">
        <f>nmPartner5&amp;" Partner Budget"</f>
        <v>Retailer Partner Budget</v>
      </c>
      <c r="E144" s="570">
        <f t="shared" ref="E144" si="81">calcConsumerTotalPartnerBudget*decConsumerPartner5Pct</f>
        <v>825000</v>
      </c>
      <c r="F144" s="572" t="s">
        <v>1345</v>
      </c>
    </row>
    <row r="145" spans="2:6" s="572" customFormat="1">
      <c r="B145" s="572" t="str">
        <f>nmPartner6&amp;" Partner Budget"</f>
        <v>Developer Partner Budget</v>
      </c>
      <c r="E145" s="570">
        <f t="shared" ref="E145" si="82">calcConsumerTotalPartnerBudget*decConsumerPartner6Pct</f>
        <v>849999.99999999977</v>
      </c>
      <c r="F145" s="572" t="s">
        <v>1346</v>
      </c>
    </row>
    <row r="146" spans="2:6" s="572" customFormat="1">
      <c r="B146" s="572" t="str">
        <f>IF(Obal!B349=0,"",Obal!B349)</f>
        <v/>
      </c>
      <c r="E146" s="573"/>
    </row>
    <row r="147" spans="2:6" s="572" customFormat="1">
      <c r="B147" s="572" t="s">
        <v>1330</v>
      </c>
      <c r="E147" s="574">
        <f t="shared" ref="E147" si="83">calcConsumerPartnerDevelopmentFTEs+calcConsumerPartnerIncentivesFTEs+calcConsumerPartnerEducationFTEs</f>
        <v>0</v>
      </c>
      <c r="F147" s="572" t="s">
        <v>1347</v>
      </c>
    </row>
    <row r="148" spans="2:6" s="572" customFormat="1">
      <c r="B148" s="572" t="str">
        <f>IF(Obal!B352=0,"",Obal!B352)</f>
        <v/>
      </c>
      <c r="E148" s="573"/>
    </row>
    <row r="149" spans="2:6" s="572" customFormat="1">
      <c r="B149" s="572" t="str">
        <f>nmPartner4&amp;" Partner FTEs"</f>
        <v>Channels Partner FTEs</v>
      </c>
      <c r="E149" s="575">
        <f t="shared" ref="E149" si="84">ROUND(calcConsumerTotalPartnerFTEs*decConsumerPartner4Pct,0)</f>
        <v>0</v>
      </c>
      <c r="F149" s="572" t="s">
        <v>1348</v>
      </c>
    </row>
    <row r="150" spans="2:6" s="572" customFormat="1">
      <c r="B150" s="572" t="str">
        <f>nmPartner5&amp;" Partner FTEs"</f>
        <v>Retailer Partner FTEs</v>
      </c>
      <c r="E150" s="575">
        <f t="shared" ref="E150" si="85">ROUND(calcConsumerTotalPartnerFTEs*decConsumerPartner5Pct,0)</f>
        <v>0</v>
      </c>
      <c r="F150" s="572" t="s">
        <v>1349</v>
      </c>
    </row>
    <row r="151" spans="2:6" s="572" customFormat="1">
      <c r="B151" s="572" t="str">
        <f>nmPartner6&amp;" Partner FTEs"</f>
        <v>Developer Partner FTEs</v>
      </c>
      <c r="E151" s="575">
        <f t="shared" ref="E151" si="86">ROUND(calcConsumerTotalPartnerFTEs*decConsumerPartner6Pct,0)</f>
        <v>0</v>
      </c>
      <c r="F151" s="572" t="s">
        <v>1350</v>
      </c>
    </row>
  </sheetData>
  <mergeCells count="2">
    <mergeCell ref="B16:E16"/>
    <mergeCell ref="B23:E23"/>
  </mergeCells>
  <hyperlinks>
    <hyperlink ref="C5" r:id="rId1"/>
  </hyperlinks>
  <pageMargins left="0.7" right="0.7" top="0.75" bottom="0.75" header="0.3" footer="0.3"/>
  <pageSetup orientation="portrait" horizontalDpi="4294967292"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2"/>
  </sheetPr>
  <dimension ref="A1:L315"/>
  <sheetViews>
    <sheetView topLeftCell="A161" workbookViewId="0">
      <selection activeCell="K170" sqref="K170"/>
    </sheetView>
  </sheetViews>
  <sheetFormatPr defaultColWidth="7.453125" defaultRowHeight="16.8"/>
  <cols>
    <col min="1" max="1" width="7.1796875" style="462" customWidth="1"/>
    <col min="2" max="2" width="29.90625" style="462" bestFit="1" customWidth="1"/>
    <col min="3" max="4" width="7.453125" style="462" customWidth="1"/>
    <col min="5" max="5" width="10.6328125" style="463" customWidth="1"/>
    <col min="6" max="16384" width="7.453125" style="462"/>
  </cols>
  <sheetData>
    <row r="1" spans="1:12" s="874" customFormat="1" ht="16.2">
      <c r="A1" s="873" t="s">
        <v>2635</v>
      </c>
      <c r="B1" s="873"/>
      <c r="E1" s="874" t="s">
        <v>7</v>
      </c>
      <c r="G1" s="875"/>
      <c r="H1" s="875"/>
      <c r="I1" s="875"/>
      <c r="J1" s="875"/>
      <c r="L1" s="873"/>
    </row>
    <row r="2" spans="1:12" s="874" customFormat="1" ht="16.2">
      <c r="A2" s="876" t="s">
        <v>2630</v>
      </c>
      <c r="B2" s="873"/>
      <c r="E2" s="874" t="b">
        <f>xxNumOfTeams&gt;0</f>
        <v>1</v>
      </c>
      <c r="F2" s="873" t="s">
        <v>2634</v>
      </c>
      <c r="G2" s="875"/>
      <c r="H2" s="875"/>
      <c r="I2" s="875"/>
      <c r="J2" s="875"/>
      <c r="L2" s="873"/>
    </row>
    <row r="3" spans="1:12" s="474" customFormat="1" ht="13.8">
      <c r="A3" s="475"/>
      <c r="B3" s="475" t="s">
        <v>982</v>
      </c>
    </row>
    <row r="4" spans="1:12" s="460" customFormat="1" ht="13.8">
      <c r="C4" s="461"/>
      <c r="D4" s="461"/>
      <c r="E4" s="461"/>
      <c r="F4" s="461"/>
      <c r="G4" s="461"/>
      <c r="H4" s="461"/>
      <c r="I4" s="461"/>
      <c r="J4" s="461"/>
      <c r="K4" s="461"/>
    </row>
    <row r="5" spans="1:12" s="460" customFormat="1" ht="13.8">
      <c r="B5" s="460" t="s">
        <v>358</v>
      </c>
      <c r="C5" s="145" t="s">
        <v>382</v>
      </c>
      <c r="E5" s="145"/>
      <c r="F5" s="146"/>
      <c r="G5" s="146"/>
      <c r="H5" s="146"/>
      <c r="J5" s="146"/>
      <c r="K5" s="146"/>
    </row>
    <row r="6" spans="1:12" s="460" customFormat="1" ht="13.8"/>
    <row r="7" spans="1:12" s="464" customFormat="1" ht="13.8">
      <c r="A7" s="466"/>
      <c r="B7" s="464" t="s">
        <v>356</v>
      </c>
      <c r="F7" s="465"/>
      <c r="G7" s="465"/>
      <c r="H7" s="465"/>
      <c r="J7" s="465"/>
      <c r="K7" s="465"/>
      <c r="L7" s="465"/>
    </row>
    <row r="8" spans="1:12" s="460" customFormat="1" ht="13.8"/>
    <row r="9" spans="1:12" s="460" customFormat="1" ht="13.8">
      <c r="B9" s="473" t="s">
        <v>383</v>
      </c>
      <c r="C9" s="473"/>
      <c r="D9" s="473"/>
      <c r="E9" s="473"/>
      <c r="F9" s="472" t="s">
        <v>384</v>
      </c>
    </row>
    <row r="10" spans="1:12" s="460" customFormat="1" ht="13.8">
      <c r="B10" s="471"/>
      <c r="C10" s="467" t="s">
        <v>385</v>
      </c>
      <c r="F10" s="470"/>
      <c r="G10" s="467" t="s">
        <v>386</v>
      </c>
    </row>
    <row r="11" spans="1:12" s="460" customFormat="1" ht="13.8">
      <c r="B11" s="469"/>
      <c r="C11" s="467" t="s">
        <v>354</v>
      </c>
    </row>
    <row r="12" spans="1:12" s="460" customFormat="1" ht="13.8">
      <c r="B12" s="468"/>
      <c r="C12" s="467" t="s">
        <v>387</v>
      </c>
    </row>
    <row r="14" spans="1:12" s="492" customFormat="1" ht="18.75" customHeight="1">
      <c r="A14" s="490"/>
      <c r="B14" s="491" t="s">
        <v>1086</v>
      </c>
      <c r="F14" s="493"/>
      <c r="G14" s="493"/>
      <c r="H14" s="493"/>
      <c r="J14" s="493"/>
      <c r="K14" s="493"/>
      <c r="L14" s="493"/>
    </row>
    <row r="15" spans="1:12">
      <c r="B15" s="523" t="s">
        <v>487</v>
      </c>
      <c r="E15" s="527">
        <f t="shared" ref="E15" si="0">calcOpsTotalMarketingExp</f>
        <v>1500000</v>
      </c>
    </row>
    <row r="16" spans="1:12">
      <c r="B16" s="523" t="s">
        <v>1229</v>
      </c>
      <c r="E16" s="528">
        <f t="shared" ref="E16" si="1">decOpsCommercialMarketingBudget</f>
        <v>0.55000000000000004</v>
      </c>
    </row>
    <row r="17" spans="2:6">
      <c r="B17" s="483" t="s">
        <v>1230</v>
      </c>
      <c r="E17" s="529">
        <f>E15*E16</f>
        <v>825000.00000000012</v>
      </c>
      <c r="F17" s="523" t="s">
        <v>1243</v>
      </c>
    </row>
    <row r="19" spans="2:6">
      <c r="B19" s="523" t="s">
        <v>1231</v>
      </c>
      <c r="E19" s="527">
        <f t="shared" ref="E19" si="2">calcOpsCommercialTotalMarketingBudget</f>
        <v>825000.00000000012</v>
      </c>
    </row>
    <row r="20" spans="2:6">
      <c r="B20" s="523" t="str">
        <f>nmProd1&amp;" Pct"</f>
        <v>Productivity &amp; Business Pct</v>
      </c>
      <c r="E20" s="528">
        <f t="shared" ref="E20" si="3">decOpsCommercialProd1Marketing</f>
        <v>0.4</v>
      </c>
      <c r="F20" s="739"/>
    </row>
    <row r="21" spans="2:6">
      <c r="B21" s="483" t="str">
        <f>"Ending Commercial "&amp;nmProd1&amp;" Budget"</f>
        <v>Ending Commercial Productivity &amp; Business Budget</v>
      </c>
      <c r="E21" s="529">
        <f t="shared" ref="E21" si="4">E19*E20</f>
        <v>330000.00000000006</v>
      </c>
      <c r="F21" s="523" t="s">
        <v>1235</v>
      </c>
    </row>
    <row r="22" spans="2:6">
      <c r="E22" s="740"/>
    </row>
    <row r="23" spans="2:6">
      <c r="B23" s="523" t="s">
        <v>1231</v>
      </c>
      <c r="E23" s="527">
        <f t="shared" ref="E23" si="5">calcOpsCommercialTotalMarketingBudget</f>
        <v>825000.00000000012</v>
      </c>
    </row>
    <row r="24" spans="2:6">
      <c r="B24" s="523" t="str">
        <f>nmProd2&amp;" Pct"</f>
        <v>Intelligent Cloud Pct</v>
      </c>
      <c r="E24" s="528">
        <f t="shared" ref="E24" si="6">decOpsCommercialProd2Marketing</f>
        <v>0.25</v>
      </c>
      <c r="F24" s="739"/>
    </row>
    <row r="25" spans="2:6">
      <c r="B25" s="483" t="str">
        <f>"Ending Commercial "&amp;nmProd2&amp;" Budget"</f>
        <v>Ending Commercial Intelligent Cloud Budget</v>
      </c>
      <c r="E25" s="529">
        <f t="shared" ref="E25" si="7">E23*E24</f>
        <v>206250.00000000003</v>
      </c>
      <c r="F25" s="523" t="s">
        <v>1236</v>
      </c>
    </row>
    <row r="27" spans="2:6">
      <c r="B27" s="523" t="s">
        <v>1231</v>
      </c>
      <c r="E27" s="527">
        <f t="shared" ref="E27" si="8">calcOpsCommercialTotalMarketingBudget</f>
        <v>825000.00000000012</v>
      </c>
    </row>
    <row r="28" spans="2:6">
      <c r="B28" s="523" t="str">
        <f>nmProd3&amp;" Pct"</f>
        <v>Personal Computing Pct</v>
      </c>
      <c r="E28" s="528">
        <f t="shared" ref="E28" si="9">decOpsCommercialProd3Marketing</f>
        <v>0.35</v>
      </c>
      <c r="F28" s="739"/>
    </row>
    <row r="29" spans="2:6">
      <c r="B29" s="483" t="str">
        <f>"Ending Commercial "&amp;nmProd3&amp;" Budget"</f>
        <v>Ending Commercial Personal Computing Budget</v>
      </c>
      <c r="E29" s="529">
        <f t="shared" ref="E29" si="10">E27*E28</f>
        <v>288750</v>
      </c>
      <c r="F29" s="523" t="s">
        <v>1237</v>
      </c>
    </row>
    <row r="31" spans="2:6">
      <c r="B31" s="523" t="s">
        <v>487</v>
      </c>
      <c r="E31" s="527">
        <f t="shared" ref="E31" si="11">calcOpsTotalMarketingExp</f>
        <v>1500000</v>
      </c>
    </row>
    <row r="32" spans="2:6">
      <c r="B32" s="523" t="s">
        <v>1241</v>
      </c>
      <c r="E32" s="528">
        <f t="shared" ref="E32" si="12">decOpsConsumerMarketingBudget</f>
        <v>0.44999999999999996</v>
      </c>
    </row>
    <row r="33" spans="1:12">
      <c r="B33" s="483" t="s">
        <v>1242</v>
      </c>
      <c r="E33" s="529">
        <f t="shared" ref="E33" si="13">E31*E32</f>
        <v>674999.99999999988</v>
      </c>
      <c r="F33" s="523" t="s">
        <v>1244</v>
      </c>
    </row>
    <row r="35" spans="1:12">
      <c r="B35" s="523" t="s">
        <v>1238</v>
      </c>
      <c r="E35" s="527">
        <f t="shared" ref="E35" si="14">calcOpsConsumerTotalMarketingBudget</f>
        <v>674999.99999999988</v>
      </c>
    </row>
    <row r="36" spans="1:12">
      <c r="B36" s="523" t="str">
        <f>nmProd1&amp;" Pct"</f>
        <v>Productivity &amp; Business Pct</v>
      </c>
      <c r="E36" s="528">
        <f t="shared" ref="E36" si="15">decOpsConsumerProd1Marketing</f>
        <v>0.45</v>
      </c>
    </row>
    <row r="37" spans="1:12">
      <c r="B37" s="483" t="str">
        <f>"Ending Consumer "&amp;nmProd1&amp;" Budget"</f>
        <v>Ending Consumer Productivity &amp; Business Budget</v>
      </c>
      <c r="E37" s="529">
        <f t="shared" ref="E37" si="16">E35*E36</f>
        <v>303749.99999999994</v>
      </c>
      <c r="F37" s="523" t="s">
        <v>1239</v>
      </c>
    </row>
    <row r="39" spans="1:12">
      <c r="B39" s="523" t="s">
        <v>1238</v>
      </c>
      <c r="E39" s="527">
        <f t="shared" ref="E39" si="17">calcOpsConsumerTotalMarketingBudget</f>
        <v>674999.99999999988</v>
      </c>
    </row>
    <row r="40" spans="1:12">
      <c r="B40" s="523" t="str">
        <f>nmProd3&amp;" Pct"</f>
        <v>Personal Computing Pct</v>
      </c>
      <c r="E40" s="528">
        <f t="shared" ref="E40" si="18">decOpsConsumerProd3Marketing</f>
        <v>0.55000000000000004</v>
      </c>
    </row>
    <row r="41" spans="1:12">
      <c r="B41" s="483" t="str">
        <f>"Ending Consumer "&amp;nmProd3&amp;" Budget"</f>
        <v>Ending Consumer Personal Computing Budget</v>
      </c>
      <c r="E41" s="529">
        <f t="shared" ref="E41" si="19">E39*E40</f>
        <v>371249.99999999994</v>
      </c>
      <c r="F41" s="523" t="s">
        <v>1240</v>
      </c>
    </row>
    <row r="43" spans="1:12" s="492" customFormat="1" ht="18.75" customHeight="1">
      <c r="A43" s="490"/>
      <c r="B43" s="491" t="s">
        <v>460</v>
      </c>
      <c r="F43" s="493"/>
      <c r="G43" s="493"/>
      <c r="H43" s="493"/>
      <c r="J43" s="493"/>
      <c r="K43" s="493"/>
      <c r="L43" s="493"/>
    </row>
    <row r="44" spans="1:12">
      <c r="B44" s="483"/>
    </row>
    <row r="45" spans="1:12">
      <c r="B45" s="481" t="s">
        <v>1037</v>
      </c>
      <c r="E45" s="482">
        <f t="shared" ref="E45" si="20">obalEGSecurity</f>
        <v>7</v>
      </c>
    </row>
    <row r="46" spans="1:12">
      <c r="B46" s="1060" t="s">
        <v>2844</v>
      </c>
      <c r="E46" s="743">
        <f t="shared" ref="E46" si="21">decEGSecurity</f>
        <v>0</v>
      </c>
    </row>
    <row r="47" spans="1:12">
      <c r="B47" s="483" t="s">
        <v>1038</v>
      </c>
      <c r="E47" s="734">
        <f>SUM(E45:E46)</f>
        <v>7</v>
      </c>
      <c r="F47" s="462" t="s">
        <v>1039</v>
      </c>
    </row>
    <row r="48" spans="1:12">
      <c r="B48" s="483"/>
    </row>
    <row r="49" spans="2:6">
      <c r="B49" s="481" t="s">
        <v>1040</v>
      </c>
      <c r="E49" s="482">
        <f t="shared" ref="E49" si="22">obalEGScalability</f>
        <v>5</v>
      </c>
    </row>
    <row r="50" spans="2:6">
      <c r="B50" s="462" t="s">
        <v>1003</v>
      </c>
      <c r="E50" s="743">
        <f t="shared" ref="E50" si="23">decEGScalability</f>
        <v>0</v>
      </c>
    </row>
    <row r="51" spans="2:6">
      <c r="B51" s="483" t="s">
        <v>1041</v>
      </c>
      <c r="E51" s="734">
        <f>SUM(E49:E50)</f>
        <v>5</v>
      </c>
      <c r="F51" s="462" t="s">
        <v>1042</v>
      </c>
    </row>
    <row r="52" spans="2:6">
      <c r="B52" s="483"/>
    </row>
    <row r="53" spans="2:6">
      <c r="B53" s="481" t="s">
        <v>1043</v>
      </c>
      <c r="E53" s="482">
        <f t="shared" ref="E53" si="24">obalEGInteroperability</f>
        <v>4</v>
      </c>
    </row>
    <row r="54" spans="2:6">
      <c r="B54" s="462" t="s">
        <v>1003</v>
      </c>
      <c r="E54" s="743">
        <f t="shared" ref="E54" si="25">decEGInteroperability</f>
        <v>0</v>
      </c>
    </row>
    <row r="55" spans="2:6">
      <c r="B55" s="483" t="s">
        <v>1044</v>
      </c>
      <c r="E55" s="734">
        <f t="shared" ref="E55" si="26">SUM(E53:E54)</f>
        <v>4</v>
      </c>
      <c r="F55" s="462" t="s">
        <v>1045</v>
      </c>
    </row>
    <row r="56" spans="2:6">
      <c r="B56" s="483"/>
    </row>
    <row r="57" spans="2:6">
      <c r="B57" s="481" t="str">
        <f>"Opening "&amp;nmProd1Offering1</f>
        <v>Opening Workspace 365</v>
      </c>
      <c r="E57" s="482">
        <f t="shared" ref="E57" si="27">obalEGProd1Offering1</f>
        <v>8</v>
      </c>
    </row>
    <row r="58" spans="2:6">
      <c r="B58" s="462" t="s">
        <v>1003</v>
      </c>
      <c r="E58" s="743">
        <f t="shared" ref="E58" si="28">decEGProd1Offering1</f>
        <v>0</v>
      </c>
    </row>
    <row r="59" spans="2:6">
      <c r="B59" s="483" t="str">
        <f>"Ending "&amp;nmProd1Offering1</f>
        <v>Ending Workspace 365</v>
      </c>
      <c r="E59" s="734">
        <f t="shared" ref="E59" si="29">SUM(E57:E58)</f>
        <v>8</v>
      </c>
      <c r="F59" s="462" t="s">
        <v>1046</v>
      </c>
    </row>
    <row r="60" spans="2:6">
      <c r="B60" s="483"/>
    </row>
    <row r="61" spans="2:6">
      <c r="B61" s="481" t="str">
        <f>"Opening "&amp;nmProd1Offering2</f>
        <v>Opening Dynamo 365</v>
      </c>
      <c r="E61" s="482">
        <f t="shared" ref="E61" si="30">obalEGProd1Offering2</f>
        <v>6</v>
      </c>
    </row>
    <row r="62" spans="2:6">
      <c r="B62" s="462" t="s">
        <v>1003</v>
      </c>
      <c r="E62" s="743">
        <f t="shared" ref="E62" si="31">decEGProd1Offering2</f>
        <v>0</v>
      </c>
    </row>
    <row r="63" spans="2:6">
      <c r="B63" s="483" t="str">
        <f>"Ending "&amp;nmProd1Offering2</f>
        <v>Ending Dynamo 365</v>
      </c>
      <c r="E63" s="734">
        <f t="shared" ref="E63" si="32">SUM(E61:E62)</f>
        <v>6</v>
      </c>
      <c r="F63" s="462" t="s">
        <v>1047</v>
      </c>
    </row>
    <row r="64" spans="2:6">
      <c r="B64" s="483"/>
    </row>
    <row r="65" spans="2:6">
      <c r="B65" s="481" t="str">
        <f>"Opening "&amp;nmProd2Offering1</f>
        <v>Opening Azul Infrastructure</v>
      </c>
      <c r="E65" s="482">
        <f t="shared" ref="E65" si="33">obalEGProd2Offering1</f>
        <v>4</v>
      </c>
    </row>
    <row r="66" spans="2:6">
      <c r="B66" s="462" t="s">
        <v>1003</v>
      </c>
      <c r="E66" s="743">
        <f t="shared" ref="E66" si="34">decEGProd2Offering1</f>
        <v>0</v>
      </c>
    </row>
    <row r="67" spans="2:6">
      <c r="B67" s="483" t="str">
        <f>"Ending "&amp;nmProd2Offering1</f>
        <v>Ending Azul Infrastructure</v>
      </c>
      <c r="E67" s="734">
        <f t="shared" ref="E67" si="35">SUM(E65:E66)</f>
        <v>4</v>
      </c>
      <c r="F67" s="462" t="s">
        <v>1048</v>
      </c>
    </row>
    <row r="68" spans="2:6">
      <c r="B68" s="483"/>
    </row>
    <row r="69" spans="2:6">
      <c r="B69" s="481" t="str">
        <f>"Opening "&amp;nmProd2Offering2</f>
        <v>Opening Azul Data, Applications, and AI</v>
      </c>
      <c r="E69" s="482">
        <f t="shared" ref="E69" si="36">obalEGProd2Offering2</f>
        <v>4</v>
      </c>
    </row>
    <row r="70" spans="2:6">
      <c r="B70" s="462" t="s">
        <v>1003</v>
      </c>
      <c r="E70" s="743">
        <f t="shared" ref="E70" si="37">decEGProd2Offering2</f>
        <v>0</v>
      </c>
    </row>
    <row r="71" spans="2:6">
      <c r="B71" s="483" t="str">
        <f>"Ending "&amp;nmProd2Offering2</f>
        <v>Ending Azul Data, Applications, and AI</v>
      </c>
      <c r="E71" s="734">
        <f t="shared" ref="E71" si="38">SUM(E69:E70)</f>
        <v>4</v>
      </c>
      <c r="F71" s="462" t="s">
        <v>1049</v>
      </c>
    </row>
    <row r="72" spans="2:6">
      <c r="B72" s="483"/>
    </row>
    <row r="73" spans="2:6">
      <c r="B73" s="481" t="str">
        <f>"Opening "&amp;nmProd3Offering1</f>
        <v>Opening Doors OS</v>
      </c>
      <c r="E73" s="482">
        <f t="shared" ref="E73" si="39">obalEGProd3Offering1</f>
        <v>7</v>
      </c>
    </row>
    <row r="74" spans="2:6">
      <c r="B74" s="462" t="s">
        <v>1003</v>
      </c>
      <c r="E74" s="743">
        <f t="shared" ref="E74" si="40">decEGProd3Offering1</f>
        <v>0</v>
      </c>
    </row>
    <row r="75" spans="2:6">
      <c r="B75" s="483" t="str">
        <f>"Ending "&amp;nmProd3Offering1</f>
        <v>Ending Doors OS</v>
      </c>
      <c r="E75" s="734">
        <f t="shared" ref="E75" si="41">SUM(E73:E74)</f>
        <v>7</v>
      </c>
      <c r="F75" s="462" t="s">
        <v>1050</v>
      </c>
    </row>
    <row r="76" spans="2:6">
      <c r="B76" s="483"/>
    </row>
    <row r="77" spans="2:6">
      <c r="B77" s="481" t="str">
        <f>"Opening "&amp;nmProd3Offering2</f>
        <v>Opening Devices</v>
      </c>
      <c r="E77" s="482">
        <f t="shared" ref="E77" si="42">obalEGProd3Offering2</f>
        <v>6</v>
      </c>
    </row>
    <row r="78" spans="2:6">
      <c r="B78" s="462" t="s">
        <v>1003</v>
      </c>
      <c r="E78" s="743">
        <f t="shared" ref="E78" si="43">decEGProd3Offering2</f>
        <v>0</v>
      </c>
    </row>
    <row r="79" spans="2:6">
      <c r="B79" s="877" t="s">
        <v>986</v>
      </c>
      <c r="E79" s="482">
        <f t="shared" ref="E79" si="44">paramChallengeProd3Offering2</f>
        <v>0</v>
      </c>
    </row>
    <row r="80" spans="2:6">
      <c r="B80" s="483" t="str">
        <f>"Ending "&amp;nmProd3Offering2</f>
        <v>Ending Devices</v>
      </c>
      <c r="E80" s="734">
        <f>SUM(E77:E79)</f>
        <v>6</v>
      </c>
      <c r="F80" s="462" t="s">
        <v>1051</v>
      </c>
    </row>
    <row r="81" spans="1:12">
      <c r="B81" s="483"/>
    </row>
    <row r="82" spans="1:12" s="492" customFormat="1" ht="18.75" customHeight="1">
      <c r="A82" s="490"/>
      <c r="B82" s="491" t="s">
        <v>2846</v>
      </c>
      <c r="F82" s="493"/>
      <c r="G82" s="493"/>
      <c r="H82" s="493"/>
      <c r="J82" s="493"/>
      <c r="K82" s="493"/>
      <c r="L82" s="493"/>
    </row>
    <row r="84" spans="1:12">
      <c r="B84" s="1060" t="s">
        <v>450</v>
      </c>
      <c r="E84" s="482">
        <f t="shared" ref="E84" si="45">calcEGSecurity</f>
        <v>7</v>
      </c>
    </row>
    <row r="85" spans="1:12">
      <c r="B85" s="733" t="s">
        <v>1777</v>
      </c>
      <c r="E85" s="524">
        <f t="shared" ref="E85" ca="1" si="46">IF(xxRound=0,1,calcCollabKicker)</f>
        <v>0.92</v>
      </c>
      <c r="F85" s="1059" t="s">
        <v>2822</v>
      </c>
    </row>
    <row r="86" spans="1:12">
      <c r="B86" s="1060" t="s">
        <v>2847</v>
      </c>
      <c r="E86" s="1061">
        <f t="shared" ref="E86" si="47">IF(xxSim0Tool1=1,E84,E84*E85)</f>
        <v>7</v>
      </c>
      <c r="F86" s="1060" t="s">
        <v>2845</v>
      </c>
    </row>
    <row r="88" spans="1:12">
      <c r="B88" s="1060" t="s">
        <v>451</v>
      </c>
      <c r="E88" s="482">
        <f t="shared" ref="E88" si="48">calcEGScalability</f>
        <v>5</v>
      </c>
    </row>
    <row r="89" spans="1:12">
      <c r="B89" s="733" t="s">
        <v>1777</v>
      </c>
      <c r="E89" s="524">
        <f t="shared" ref="E89" ca="1" si="49">IF(xxRound=0,1,calcCollabKicker)</f>
        <v>0.92</v>
      </c>
      <c r="F89" s="1059" t="s">
        <v>2823</v>
      </c>
    </row>
    <row r="90" spans="1:12">
      <c r="B90" s="1060" t="s">
        <v>2848</v>
      </c>
      <c r="E90" s="1061">
        <f t="shared" ref="E90" si="50">IF(xxSim0Tool1=1,E88,E88*E89)</f>
        <v>5</v>
      </c>
      <c r="F90" s="1060" t="s">
        <v>2849</v>
      </c>
    </row>
    <row r="92" spans="1:12">
      <c r="B92" s="1060" t="s">
        <v>453</v>
      </c>
      <c r="E92" s="482">
        <f t="shared" ref="E92" si="51">calcEGInteroperability</f>
        <v>4</v>
      </c>
    </row>
    <row r="93" spans="1:12">
      <c r="B93" s="733" t="s">
        <v>1777</v>
      </c>
      <c r="E93" s="524">
        <f t="shared" ref="E93" ca="1" si="52">IF(xxRound=0,1,calcCollabKicker)</f>
        <v>0.92</v>
      </c>
      <c r="F93" s="1059" t="s">
        <v>2824</v>
      </c>
    </row>
    <row r="94" spans="1:12">
      <c r="B94" s="1060" t="s">
        <v>2850</v>
      </c>
      <c r="E94" s="1061">
        <f t="shared" ref="E94" si="53">IF(xxSim0Tool1=1,E92,E92*E93)</f>
        <v>4</v>
      </c>
      <c r="F94" s="1060" t="s">
        <v>2851</v>
      </c>
    </row>
    <row r="96" spans="1:12">
      <c r="B96" s="1060" t="str">
        <f>"Opening "&amp;nmProd1Offering1</f>
        <v>Opening Workspace 365</v>
      </c>
      <c r="E96" s="482">
        <f t="shared" ref="E96" si="54">calcEGProd1Offering1</f>
        <v>8</v>
      </c>
    </row>
    <row r="97" spans="2:6">
      <c r="B97" s="733" t="s">
        <v>1777</v>
      </c>
      <c r="E97" s="524">
        <f t="shared" ref="E97" ca="1" si="55">IF(xxRound=0,1,calcCollabKicker)</f>
        <v>0.92</v>
      </c>
      <c r="F97" s="1059" t="s">
        <v>2825</v>
      </c>
    </row>
    <row r="98" spans="2:6">
      <c r="B98" s="1060" t="str">
        <f>"Closing "&amp;nmProd1Offering1</f>
        <v>Closing Workspace 365</v>
      </c>
      <c r="E98" s="1061">
        <f t="shared" ref="E98" si="56">IF(xxSim0Tool1=1,E96,E96*E97)</f>
        <v>8</v>
      </c>
      <c r="F98" s="1060" t="s">
        <v>2852</v>
      </c>
    </row>
    <row r="100" spans="2:6">
      <c r="B100" s="1060" t="str">
        <f>"Opening "&amp;nmProd1Offering2</f>
        <v>Opening Dynamo 365</v>
      </c>
      <c r="E100" s="482">
        <f t="shared" ref="E100" si="57">calcEGProd1Offering2</f>
        <v>6</v>
      </c>
    </row>
    <row r="101" spans="2:6">
      <c r="B101" s="733" t="s">
        <v>1777</v>
      </c>
      <c r="E101" s="524">
        <f t="shared" ref="E101" ca="1" si="58">IF(xxRound=0,1,calcCollabKicker)</f>
        <v>0.92</v>
      </c>
      <c r="F101" s="1059" t="s">
        <v>2826</v>
      </c>
    </row>
    <row r="102" spans="2:6">
      <c r="B102" s="1060" t="str">
        <f>"Closing "&amp;nmProd1Offering2</f>
        <v>Closing Dynamo 365</v>
      </c>
      <c r="E102" s="1061">
        <f t="shared" ref="E102" si="59">IF(xxSim0Tool1=1,E100,E100*E101)</f>
        <v>6</v>
      </c>
      <c r="F102" s="1060" t="s">
        <v>2853</v>
      </c>
    </row>
    <row r="104" spans="2:6">
      <c r="B104" s="1060" t="str">
        <f>"Opening "&amp;nmProd2Offering1</f>
        <v>Opening Azul Infrastructure</v>
      </c>
      <c r="E104" s="482">
        <f t="shared" ref="E104" si="60">calcEGProd2Offering1</f>
        <v>4</v>
      </c>
    </row>
    <row r="105" spans="2:6">
      <c r="B105" s="733" t="s">
        <v>1777</v>
      </c>
      <c r="E105" s="524">
        <f t="shared" ref="E105" ca="1" si="61">IF(xxRound=0,1,calcCollabKicker)</f>
        <v>0.92</v>
      </c>
      <c r="F105" s="1059" t="s">
        <v>2827</v>
      </c>
    </row>
    <row r="106" spans="2:6">
      <c r="B106" s="1060" t="str">
        <f>"Closing "&amp;nmProd2Offering1</f>
        <v>Closing Azul Infrastructure</v>
      </c>
      <c r="E106" s="1061">
        <f t="shared" ref="E106" si="62">IF(xxSim0Tool1=1,E104,E104*E105)</f>
        <v>4</v>
      </c>
      <c r="F106" s="1060" t="s">
        <v>2854</v>
      </c>
    </row>
    <row r="108" spans="2:6">
      <c r="B108" s="1060" t="str">
        <f>"Opening "&amp;nmProd2Offering2</f>
        <v>Opening Azul Data, Applications, and AI</v>
      </c>
      <c r="E108" s="482">
        <f t="shared" ref="E108" si="63">calcEGProd2Offering2</f>
        <v>4</v>
      </c>
    </row>
    <row r="109" spans="2:6">
      <c r="B109" s="733" t="s">
        <v>1777</v>
      </c>
      <c r="E109" s="524">
        <f t="shared" ref="E109" ca="1" si="64">IF(xxRound=0,1,calcCollabKicker)</f>
        <v>0.92</v>
      </c>
      <c r="F109" s="1059" t="s">
        <v>2828</v>
      </c>
    </row>
    <row r="110" spans="2:6">
      <c r="B110" s="1060" t="str">
        <f>"Closing "&amp;nmProd2Offering2</f>
        <v>Closing Azul Data, Applications, and AI</v>
      </c>
      <c r="E110" s="1061">
        <f t="shared" ref="E110" si="65">IF(xxSim0Tool1=1,E108,E108*E109)</f>
        <v>4</v>
      </c>
      <c r="F110" s="1060" t="s">
        <v>2855</v>
      </c>
    </row>
    <row r="112" spans="2:6">
      <c r="B112" s="1060" t="str">
        <f>"Opening "&amp;nmProd3Offering1</f>
        <v>Opening Doors OS</v>
      </c>
      <c r="E112" s="482">
        <f t="shared" ref="E112" si="66">calcEGProd3Offering1</f>
        <v>7</v>
      </c>
    </row>
    <row r="113" spans="1:12">
      <c r="B113" s="733" t="s">
        <v>1777</v>
      </c>
      <c r="E113" s="524">
        <f t="shared" ref="E113" ca="1" si="67">IF(xxRound=0,1,calcCollabKicker)</f>
        <v>0.92</v>
      </c>
      <c r="F113" s="1059" t="s">
        <v>2829</v>
      </c>
    </row>
    <row r="114" spans="1:12">
      <c r="B114" s="1060" t="str">
        <f>"Closing "&amp;nmProd3Offering1</f>
        <v>Closing Doors OS</v>
      </c>
      <c r="E114" s="1061">
        <f t="shared" ref="E114" si="68">IF(xxSim0Tool1=1,E112,E112*E113)</f>
        <v>7</v>
      </c>
      <c r="F114" s="1060" t="s">
        <v>2856</v>
      </c>
    </row>
    <row r="116" spans="1:12">
      <c r="B116" s="1060" t="str">
        <f>"Opening "&amp;nmProd3Offering2</f>
        <v>Opening Devices</v>
      </c>
      <c r="E116" s="482">
        <f t="shared" ref="E116" si="69">calcEGProd3Offering2</f>
        <v>6</v>
      </c>
    </row>
    <row r="117" spans="1:12">
      <c r="B117" s="733" t="s">
        <v>1777</v>
      </c>
      <c r="E117" s="524">
        <f t="shared" ref="E117" ca="1" si="70">IF(xxRound=0,1,calcCollabKicker)</f>
        <v>0.92</v>
      </c>
      <c r="F117" s="1059" t="s">
        <v>2830</v>
      </c>
    </row>
    <row r="118" spans="1:12">
      <c r="B118" s="1060" t="str">
        <f>"Closing "&amp;nmProd3Offering2</f>
        <v>Closing Devices</v>
      </c>
      <c r="E118" s="1061">
        <f t="shared" ref="E118" si="71">IF(xxSim0Tool1=1,E116,E116*E117)</f>
        <v>6</v>
      </c>
      <c r="F118" s="1060" t="s">
        <v>2857</v>
      </c>
    </row>
    <row r="120" spans="1:12" s="492" customFormat="1" ht="18.75" customHeight="1">
      <c r="A120" s="490"/>
      <c r="B120" s="491" t="s">
        <v>2201</v>
      </c>
      <c r="F120" s="493"/>
      <c r="G120" s="493"/>
      <c r="H120" s="493"/>
      <c r="J120" s="493"/>
      <c r="K120" s="493"/>
      <c r="L120" s="493"/>
    </row>
    <row r="121" spans="1:12">
      <c r="B121" s="483"/>
    </row>
    <row r="122" spans="1:12">
      <c r="B122" s="481" t="s">
        <v>2197</v>
      </c>
      <c r="E122" s="482">
        <f t="shared" ref="E122" si="72">calcEGSecurityInvestment</f>
        <v>7</v>
      </c>
    </row>
    <row r="123" spans="1:12">
      <c r="B123" s="739" t="s">
        <v>2196</v>
      </c>
      <c r="E123" s="524">
        <f t="shared" ref="E123" si="73">IF(xxSim0Tool1=1,1,1+((calcOpsCommercialTotalMarketingBudget+calcOpsConsumerTotalMarketingBudget)/10000000))</f>
        <v>1</v>
      </c>
      <c r="F123" s="1059" t="s">
        <v>2831</v>
      </c>
    </row>
    <row r="124" spans="1:12">
      <c r="B124" s="483" t="s">
        <v>1038</v>
      </c>
      <c r="E124" s="734">
        <f t="shared" ref="E124" si="74">IF(xxSim0Tool1=1,SUM(E122:E122),SUM(E122:E122)*E123)</f>
        <v>7</v>
      </c>
      <c r="F124" s="462" t="s">
        <v>2967</v>
      </c>
    </row>
    <row r="125" spans="1:12">
      <c r="B125" s="483"/>
    </row>
    <row r="126" spans="1:12">
      <c r="B126" s="481" t="s">
        <v>2198</v>
      </c>
      <c r="E126" s="482">
        <f t="shared" ref="E126" si="75">calcEGScalabilityInvestment</f>
        <v>5</v>
      </c>
    </row>
    <row r="127" spans="1:12">
      <c r="B127" s="739" t="s">
        <v>2196</v>
      </c>
      <c r="E127" s="524">
        <f t="shared" ref="E127" si="76">IF(xxSim0Tool1=1,1,1+((calcOpsCommercialTotalMarketingBudget+calcOpsConsumerTotalMarketingBudget)/10000000))</f>
        <v>1</v>
      </c>
      <c r="F127" s="1059" t="s">
        <v>2832</v>
      </c>
    </row>
    <row r="128" spans="1:12">
      <c r="B128" s="483" t="s">
        <v>1041</v>
      </c>
      <c r="E128" s="734">
        <f t="shared" ref="E128" si="77">IF(xxSim0Tool1=1,SUM(E126:E126),SUM(E126:E126)*E127)</f>
        <v>5</v>
      </c>
      <c r="F128" s="462" t="s">
        <v>2968</v>
      </c>
    </row>
    <row r="129" spans="2:6">
      <c r="B129" s="483"/>
    </row>
    <row r="130" spans="2:6">
      <c r="B130" s="481" t="s">
        <v>2199</v>
      </c>
      <c r="E130" s="482">
        <f t="shared" ref="E130" si="78">calcEGInteroperabilityInvestment</f>
        <v>4</v>
      </c>
    </row>
    <row r="131" spans="2:6">
      <c r="B131" s="739" t="s">
        <v>2196</v>
      </c>
      <c r="E131" s="524">
        <f t="shared" ref="E131" si="79">IF(xxSim0Tool1=1,1,1+((calcOpsCommercialTotalMarketingBudget+calcOpsConsumerTotalMarketingBudget)/10000000))</f>
        <v>1</v>
      </c>
      <c r="F131" s="1059" t="s">
        <v>2833</v>
      </c>
    </row>
    <row r="132" spans="2:6">
      <c r="B132" s="483" t="s">
        <v>1044</v>
      </c>
      <c r="E132" s="734">
        <f t="shared" ref="E132" si="80">IF(xxSim0Tool1=1,SUM(E130:E130),SUM(E130:E130)*E131)</f>
        <v>4</v>
      </c>
      <c r="F132" s="462" t="s">
        <v>2969</v>
      </c>
    </row>
    <row r="133" spans="2:6">
      <c r="B133" s="483"/>
    </row>
    <row r="134" spans="2:6">
      <c r="B134" s="481" t="str">
        <f>"Closing "&amp;nmProd1Offering1</f>
        <v>Closing Workspace 365</v>
      </c>
      <c r="E134" s="482">
        <f t="shared" ref="E134" si="81">calcEGProd1Offering1Investment</f>
        <v>8</v>
      </c>
    </row>
    <row r="135" spans="2:6">
      <c r="B135" s="739" t="s">
        <v>2196</v>
      </c>
      <c r="E135" s="524">
        <f t="shared" ref="E135" si="82">IF(xxSim0Tool1=1,1,1+((calcOpsCommercialProd1MarketingBudget+calcOpsConsumerProd1MarketingBudget)/10000000))</f>
        <v>1</v>
      </c>
      <c r="F135" s="1059" t="s">
        <v>2834</v>
      </c>
    </row>
    <row r="136" spans="2:6">
      <c r="B136" s="483" t="str">
        <f>"Ending "&amp;nmProd1Offering1</f>
        <v>Ending Workspace 365</v>
      </c>
      <c r="E136" s="734">
        <f t="shared" ref="E136" si="83">IF(xxSim0Tool1=1,SUM(E134:E134),SUM(E134:E134)*E135)</f>
        <v>8</v>
      </c>
      <c r="F136" s="462" t="s">
        <v>2970</v>
      </c>
    </row>
    <row r="137" spans="2:6">
      <c r="B137" s="483"/>
    </row>
    <row r="138" spans="2:6">
      <c r="B138" s="481" t="str">
        <f>"Closing "&amp;nmProd1Offering2</f>
        <v>Closing Dynamo 365</v>
      </c>
      <c r="E138" s="482">
        <f t="shared" ref="E138" si="84">calcEGProd1Offering2Investment</f>
        <v>6</v>
      </c>
    </row>
    <row r="139" spans="2:6">
      <c r="B139" s="739" t="s">
        <v>2196</v>
      </c>
      <c r="E139" s="524">
        <f t="shared" ref="E139" si="85">IF(xxSim0Tool1=1,1,1+((calcOpsCommercialProd1MarketingBudget+calcOpsConsumerProd1MarketingBudget)/10000000))</f>
        <v>1</v>
      </c>
      <c r="F139" s="1059" t="s">
        <v>2835</v>
      </c>
    </row>
    <row r="140" spans="2:6">
      <c r="B140" s="483" t="str">
        <f>"Ending "&amp;nmProd1Offering2</f>
        <v>Ending Dynamo 365</v>
      </c>
      <c r="E140" s="734">
        <f t="shared" ref="E140" si="86">IF(xxSim0Tool1=1,SUM(E138:E138),SUM(E138:E138)*E139)</f>
        <v>6</v>
      </c>
      <c r="F140" s="462" t="s">
        <v>2971</v>
      </c>
    </row>
    <row r="141" spans="2:6">
      <c r="B141" s="483"/>
    </row>
    <row r="142" spans="2:6">
      <c r="B142" s="481" t="str">
        <f>"Closing "&amp;nmProd2Offering1</f>
        <v>Closing Azul Infrastructure</v>
      </c>
      <c r="E142" s="482">
        <f t="shared" ref="E142" si="87">calcEGProd2Offering1Investment</f>
        <v>4</v>
      </c>
    </row>
    <row r="143" spans="2:6">
      <c r="B143" s="739" t="s">
        <v>2196</v>
      </c>
      <c r="E143" s="524">
        <f t="shared" ref="E143" si="88">IF(xxSim0Tool1=1,1,1+((calcOpsCommercialProd2MarketingBudget)/10000000))</f>
        <v>1</v>
      </c>
      <c r="F143" s="1059" t="s">
        <v>2966</v>
      </c>
    </row>
    <row r="144" spans="2:6">
      <c r="B144" s="483" t="str">
        <f>"Ending "&amp;nmProd2Offering1</f>
        <v>Ending Azul Infrastructure</v>
      </c>
      <c r="E144" s="734">
        <f t="shared" ref="E144" si="89">IF(xxSim0Tool1=1,SUM(E142:E142),SUM(E142:E142)*E143)</f>
        <v>4</v>
      </c>
      <c r="F144" s="462" t="s">
        <v>2972</v>
      </c>
    </row>
    <row r="145" spans="2:6">
      <c r="B145" s="483"/>
    </row>
    <row r="146" spans="2:6">
      <c r="B146" s="481" t="str">
        <f>"Closing "&amp;nmProd2Offering2</f>
        <v>Closing Azul Data, Applications, and AI</v>
      </c>
      <c r="E146" s="482">
        <f t="shared" ref="E146" si="90">calcEGProd2Offering2Investment</f>
        <v>4</v>
      </c>
    </row>
    <row r="147" spans="2:6">
      <c r="B147" s="739" t="s">
        <v>2196</v>
      </c>
      <c r="E147" s="524">
        <f t="shared" ref="E147" si="91">IF(xxSim0Tool1=1,1,1+((calcOpsCommercialProd2MarketingBudget)/10000000))</f>
        <v>1</v>
      </c>
      <c r="F147" s="1059" t="s">
        <v>2836</v>
      </c>
    </row>
    <row r="148" spans="2:6">
      <c r="B148" s="483" t="str">
        <f>"Ending "&amp;nmProd2Offering2</f>
        <v>Ending Azul Data, Applications, and AI</v>
      </c>
      <c r="E148" s="734">
        <f t="shared" ref="E148" si="92">IF(xxSim0Tool1=1,SUM(E146:E146),SUM(E146:E146)*E147)</f>
        <v>4</v>
      </c>
      <c r="F148" s="462" t="s">
        <v>2973</v>
      </c>
    </row>
    <row r="149" spans="2:6">
      <c r="B149" s="483"/>
    </row>
    <row r="150" spans="2:6">
      <c r="B150" s="481" t="str">
        <f>"Closing "&amp;nmProd3Offering1</f>
        <v>Closing Doors OS</v>
      </c>
      <c r="E150" s="482">
        <f t="shared" ref="E150" si="93">calcEGProd3Offering1Investment</f>
        <v>7</v>
      </c>
    </row>
    <row r="151" spans="2:6">
      <c r="B151" s="739" t="s">
        <v>2196</v>
      </c>
      <c r="E151" s="524">
        <f t="shared" ref="E151" si="94">IF(xxSim0Tool1=1,1,1+((calcOpsCommercialProd3MarketingBudget+calcOpsConsumerProd3MarketingBudget)/10000000))</f>
        <v>1</v>
      </c>
      <c r="F151" s="1059" t="s">
        <v>2837</v>
      </c>
    </row>
    <row r="152" spans="2:6">
      <c r="B152" s="483" t="str">
        <f>"Ending "&amp;nmProd3Offering1</f>
        <v>Ending Doors OS</v>
      </c>
      <c r="E152" s="734">
        <f t="shared" ref="E152" si="95">IF(xxSim0Tool1=1,SUM(E150:E150),SUM(E150:E150)*E151)</f>
        <v>7</v>
      </c>
      <c r="F152" s="462" t="s">
        <v>2974</v>
      </c>
    </row>
    <row r="153" spans="2:6">
      <c r="B153" s="483"/>
    </row>
    <row r="154" spans="2:6">
      <c r="B154" s="481" t="str">
        <f>"Closing "&amp;nmProd3Offering2</f>
        <v>Closing Devices</v>
      </c>
      <c r="E154" s="482">
        <f t="shared" ref="E154" si="96">calcEGProd3Offering2Investment</f>
        <v>6</v>
      </c>
    </row>
    <row r="155" spans="2:6">
      <c r="B155" s="739" t="s">
        <v>2196</v>
      </c>
      <c r="E155" s="524">
        <f t="shared" ref="E155" si="97">IF(xxSim0Tool1=1,1,1+((calcOpsCommercialProd3MarketingBudget+calcOpsConsumerProd3MarketingBudget)/10000000))</f>
        <v>1</v>
      </c>
      <c r="F155" s="1059" t="s">
        <v>2838</v>
      </c>
    </row>
    <row r="156" spans="2:6">
      <c r="B156" s="483" t="str">
        <f>"Ending "&amp;nmProd3Offering2</f>
        <v>Ending Devices</v>
      </c>
      <c r="E156" s="734">
        <f t="shared" ref="E156" si="98">IF(xxSim0Tool1=1,SUM(E154:E154),SUM(E154:E154)*E155)</f>
        <v>6</v>
      </c>
      <c r="F156" s="462" t="s">
        <v>2975</v>
      </c>
    </row>
    <row r="157" spans="2:6">
      <c r="B157" s="483"/>
    </row>
    <row r="158" spans="2:6">
      <c r="B158" s="483" t="str">
        <f>nmProd1&amp;" MM Score"</f>
        <v>Productivity &amp; Business MM Score</v>
      </c>
      <c r="E158" s="734">
        <f t="shared" ref="E158" si="99">calcMMScoreProd1Offering1+calcMMScoreProd1Offering2</f>
        <v>14</v>
      </c>
      <c r="F158" s="739" t="s">
        <v>2976</v>
      </c>
    </row>
    <row r="159" spans="2:6">
      <c r="B159" s="483" t="str">
        <f>nmProd2&amp;" MM Score"</f>
        <v>Intelligent Cloud MM Score</v>
      </c>
      <c r="E159" s="734">
        <f t="shared" ref="E159" si="100">calcMMScoreProd2Offering2</f>
        <v>4</v>
      </c>
      <c r="F159" s="739" t="s">
        <v>2977</v>
      </c>
    </row>
    <row r="160" spans="2:6">
      <c r="B160" s="483" t="str">
        <f>nmProd3&amp;" MM Score"</f>
        <v>Personal Computing MM Score</v>
      </c>
      <c r="E160" s="734">
        <f t="shared" ref="E160" si="101">calcMMScoreProd3Offering1+calcMMScoreProd3Offering2</f>
        <v>13</v>
      </c>
      <c r="F160" s="739" t="s">
        <v>2978</v>
      </c>
    </row>
    <row r="161" spans="1:12">
      <c r="B161" s="483"/>
    </row>
    <row r="162" spans="1:12" s="492" customFormat="1" ht="18.75" customHeight="1">
      <c r="A162" s="490"/>
      <c r="B162" s="491" t="s">
        <v>494</v>
      </c>
      <c r="F162" s="493"/>
      <c r="G162" s="493"/>
      <c r="H162" s="493"/>
      <c r="J162" s="493"/>
      <c r="K162" s="493"/>
      <c r="L162" s="493"/>
    </row>
    <row r="163" spans="1:12">
      <c r="B163" s="483"/>
    </row>
    <row r="164" spans="1:12">
      <c r="B164" s="481" t="str">
        <f>"Opening "&amp;nmProd1&amp;" Price"</f>
        <v>Opening Productivity &amp; Business Price</v>
      </c>
      <c r="E164" s="522">
        <f t="shared" ref="E164" si="102">obalCommercialProd1Price</f>
        <v>15</v>
      </c>
    </row>
    <row r="165" spans="1:12">
      <c r="B165" s="523" t="s">
        <v>1221</v>
      </c>
      <c r="E165" s="524">
        <f t="shared" ref="E165" si="103">VLOOKUP(decCommercialProd1Price,dataTablePricing,2,FALSE)</f>
        <v>1</v>
      </c>
    </row>
    <row r="166" spans="1:12">
      <c r="B166" s="483" t="str">
        <f>"Ending "&amp;nmProd1&amp;" Price"</f>
        <v>Ending Productivity &amp; Business Price</v>
      </c>
      <c r="E166" s="525">
        <f>E164*E165</f>
        <v>15</v>
      </c>
      <c r="F166" s="523" t="s">
        <v>1224</v>
      </c>
    </row>
    <row r="167" spans="1:12">
      <c r="B167" s="483"/>
    </row>
    <row r="168" spans="1:12">
      <c r="B168" s="481" t="str">
        <f>"Opening "&amp;nmProd2&amp;" Price"</f>
        <v>Opening Intelligent Cloud Price</v>
      </c>
      <c r="E168" s="522">
        <f t="shared" ref="E168" si="104">obalCommercialProd2Price</f>
        <v>50</v>
      </c>
    </row>
    <row r="169" spans="1:12">
      <c r="B169" s="523" t="s">
        <v>1221</v>
      </c>
      <c r="E169" s="524">
        <f t="shared" ref="E169" si="105">VLOOKUP(decCommercialProd2Price,dataTablePricing,2,FALSE)</f>
        <v>1</v>
      </c>
    </row>
    <row r="170" spans="1:12">
      <c r="B170" s="483" t="str">
        <f>"Ending "&amp;nmProd2&amp;" Price"</f>
        <v>Ending Intelligent Cloud Price</v>
      </c>
      <c r="E170" s="525">
        <f t="shared" ref="E170" si="106">E168*E169</f>
        <v>50</v>
      </c>
      <c r="F170" s="523" t="s">
        <v>1225</v>
      </c>
    </row>
    <row r="171" spans="1:12">
      <c r="B171" s="483"/>
    </row>
    <row r="172" spans="1:12">
      <c r="B172" s="481" t="str">
        <f>"Opening "&amp;nmProd3&amp;" Price"</f>
        <v>Opening Personal Computing Price</v>
      </c>
      <c r="E172" s="522">
        <f t="shared" ref="E172" si="107">obalCommercialProd3Price</f>
        <v>320</v>
      </c>
    </row>
    <row r="173" spans="1:12">
      <c r="B173" s="523" t="s">
        <v>1221</v>
      </c>
      <c r="E173" s="524">
        <f t="shared" ref="E173" si="108">VLOOKUP(decCommercialProd3Price,dataTablePricing,2,FALSE)</f>
        <v>1</v>
      </c>
    </row>
    <row r="174" spans="1:12">
      <c r="B174" s="483" t="str">
        <f>"Ending "&amp;nmProd3&amp;" Price"</f>
        <v>Ending Personal Computing Price</v>
      </c>
      <c r="E174" s="525">
        <f t="shared" ref="E174" si="109">E172*E173</f>
        <v>320</v>
      </c>
      <c r="F174" s="523" t="s">
        <v>1226</v>
      </c>
    </row>
    <row r="175" spans="1:12">
      <c r="B175" s="483"/>
    </row>
    <row r="176" spans="1:12">
      <c r="B176" s="481" t="str">
        <f>"Opening "&amp;nmSkill1</f>
        <v>Opening Technical Expertise</v>
      </c>
      <c r="E176" s="482">
        <f t="shared" ref="E176" si="110">obalCommercialSkill1</f>
        <v>8</v>
      </c>
    </row>
    <row r="177" spans="2:6">
      <c r="B177" s="462" t="s">
        <v>1003</v>
      </c>
      <c r="E177" s="482">
        <f t="shared" ref="E177" si="111">decCommercialSkill1</f>
        <v>0</v>
      </c>
    </row>
    <row r="178" spans="2:6">
      <c r="B178" s="483" t="str">
        <f>"Ending "&amp;nmSkill1</f>
        <v>Ending Technical Expertise</v>
      </c>
      <c r="E178" s="485">
        <f t="shared" ref="E178" si="112">SUM(E176:E177)</f>
        <v>8</v>
      </c>
      <c r="F178" s="523" t="s">
        <v>2620</v>
      </c>
    </row>
    <row r="179" spans="2:6">
      <c r="B179" s="483"/>
    </row>
    <row r="180" spans="2:6">
      <c r="B180" s="481" t="str">
        <f>"Opening "&amp;nmSkill2</f>
        <v>Opening Consultative Skills</v>
      </c>
      <c r="E180" s="482">
        <f t="shared" ref="E180" si="113">obalCommercialSkill2</f>
        <v>5</v>
      </c>
    </row>
    <row r="181" spans="2:6">
      <c r="B181" s="462" t="s">
        <v>1003</v>
      </c>
      <c r="E181" s="482">
        <f t="shared" ref="E181" si="114">decCommercialSkill2</f>
        <v>0</v>
      </c>
    </row>
    <row r="182" spans="2:6">
      <c r="B182" s="483" t="str">
        <f>"Ending "&amp;nmSkill2</f>
        <v>Ending Consultative Skills</v>
      </c>
      <c r="E182" s="485">
        <f t="shared" ref="E182" si="115">SUM(E180:E181)</f>
        <v>5</v>
      </c>
      <c r="F182" s="523" t="s">
        <v>2621</v>
      </c>
    </row>
    <row r="183" spans="2:6">
      <c r="B183" s="483"/>
    </row>
    <row r="184" spans="2:6">
      <c r="B184" s="481" t="str">
        <f>"Opening "&amp;nmSkill3</f>
        <v>Opening Industry Expertise</v>
      </c>
      <c r="E184" s="482">
        <f t="shared" ref="E184" si="116">obalCommercialSkill3</f>
        <v>2</v>
      </c>
    </row>
    <row r="185" spans="2:6">
      <c r="B185" s="462" t="s">
        <v>1003</v>
      </c>
      <c r="E185" s="482">
        <f t="shared" ref="E185" si="117">decCommercialSkill3</f>
        <v>0</v>
      </c>
    </row>
    <row r="186" spans="2:6">
      <c r="B186" s="483" t="str">
        <f>"Ending "&amp;nmSkill3</f>
        <v>Ending Industry Expertise</v>
      </c>
      <c r="E186" s="485">
        <f t="shared" ref="E186" si="118">SUM(E184:E185)</f>
        <v>2</v>
      </c>
      <c r="F186" s="523" t="s">
        <v>2622</v>
      </c>
    </row>
    <row r="188" spans="2:6">
      <c r="B188" s="481" t="s">
        <v>1018</v>
      </c>
      <c r="E188" s="482">
        <f>obalCommercialPartnerDevelopment</f>
        <v>5</v>
      </c>
    </row>
    <row r="189" spans="2:6">
      <c r="B189" s="462" t="s">
        <v>1003</v>
      </c>
      <c r="E189" s="482">
        <f t="shared" ref="E189" si="119">decCommercialPartnerDevelopment</f>
        <v>0</v>
      </c>
    </row>
    <row r="190" spans="2:6">
      <c r="B190" s="483" t="s">
        <v>1019</v>
      </c>
      <c r="E190" s="485">
        <f>SUM(E188:E189)</f>
        <v>5</v>
      </c>
      <c r="F190" s="462" t="s">
        <v>1171</v>
      </c>
    </row>
    <row r="191" spans="2:6">
      <c r="B191" s="483"/>
    </row>
    <row r="192" spans="2:6">
      <c r="B192" s="481" t="s">
        <v>1020</v>
      </c>
      <c r="E192" s="482">
        <f>obalCommercialPartnerIncentives</f>
        <v>4</v>
      </c>
    </row>
    <row r="193" spans="1:12">
      <c r="B193" s="462" t="s">
        <v>1003</v>
      </c>
      <c r="E193" s="482">
        <f t="shared" ref="E193" si="120">decCommercialPartnerIncentives</f>
        <v>0</v>
      </c>
    </row>
    <row r="194" spans="1:12">
      <c r="B194" s="483" t="s">
        <v>1021</v>
      </c>
      <c r="E194" s="485">
        <f t="shared" ref="E194" si="121">SUM(E192:E193)</f>
        <v>4</v>
      </c>
      <c r="F194" s="462" t="s">
        <v>1172</v>
      </c>
    </row>
    <row r="195" spans="1:12">
      <c r="B195" s="483"/>
    </row>
    <row r="196" spans="1:12">
      <c r="B196" s="481" t="s">
        <v>1022</v>
      </c>
      <c r="E196" s="482">
        <f>obalCommercialPartnerEducation</f>
        <v>3</v>
      </c>
    </row>
    <row r="197" spans="1:12">
      <c r="B197" s="462" t="s">
        <v>1003</v>
      </c>
      <c r="E197" s="482">
        <f t="shared" ref="E197" si="122">decCommercialPartnerEducation</f>
        <v>0</v>
      </c>
    </row>
    <row r="198" spans="1:12">
      <c r="B198" s="483" t="s">
        <v>1023</v>
      </c>
      <c r="E198" s="485">
        <f t="shared" ref="E198" si="123">SUM(E196:E197)</f>
        <v>3</v>
      </c>
      <c r="F198" s="462" t="s">
        <v>1173</v>
      </c>
    </row>
    <row r="200" spans="1:12" s="492" customFormat="1" ht="18.75" customHeight="1">
      <c r="A200" s="490"/>
      <c r="B200" s="491" t="s">
        <v>365</v>
      </c>
      <c r="F200" s="493"/>
      <c r="G200" s="493"/>
      <c r="H200" s="493"/>
      <c r="J200" s="493"/>
      <c r="K200" s="493"/>
      <c r="L200" s="493"/>
    </row>
    <row r="201" spans="1:12">
      <c r="B201" s="483"/>
    </row>
    <row r="202" spans="1:12">
      <c r="B202" s="481" t="str">
        <f>"Opening "&amp;nmProd1&amp;" Price"</f>
        <v>Opening Productivity &amp; Business Price</v>
      </c>
      <c r="E202" s="522">
        <f t="shared" ref="E202" si="124">obalConsumerProd1Price</f>
        <v>15</v>
      </c>
    </row>
    <row r="203" spans="1:12">
      <c r="B203" s="523" t="s">
        <v>1221</v>
      </c>
      <c r="E203" s="524">
        <f t="shared" ref="E203" si="125">VLOOKUP(decConsumerProd1Price,dataTablePricing,2,FALSE)</f>
        <v>1</v>
      </c>
    </row>
    <row r="204" spans="1:12">
      <c r="B204" s="483" t="str">
        <f>"Ending "&amp;nmProd1&amp;" Price"</f>
        <v>Ending Productivity &amp; Business Price</v>
      </c>
      <c r="E204" s="525">
        <f t="shared" ref="E204" si="126">E202*E203</f>
        <v>15</v>
      </c>
      <c r="F204" s="523" t="s">
        <v>1227</v>
      </c>
    </row>
    <row r="205" spans="1:12">
      <c r="B205" s="483"/>
    </row>
    <row r="206" spans="1:12">
      <c r="B206" s="481" t="str">
        <f>"Opening "&amp;nmProd3&amp;" Price"</f>
        <v>Opening Personal Computing Price</v>
      </c>
      <c r="E206" s="522">
        <f t="shared" ref="E206" si="127">obalConsumerProd3Price</f>
        <v>320</v>
      </c>
    </row>
    <row r="207" spans="1:12">
      <c r="B207" s="523" t="s">
        <v>1221</v>
      </c>
      <c r="E207" s="524">
        <f t="shared" ref="E207" si="128">VLOOKUP(decConsumerProd3Price,dataTablePricing,2,FALSE)</f>
        <v>1</v>
      </c>
    </row>
    <row r="208" spans="1:12">
      <c r="B208" s="483" t="str">
        <f>"Ending "&amp;nmProd3&amp;" Price"</f>
        <v>Ending Personal Computing Price</v>
      </c>
      <c r="E208" s="525">
        <f t="shared" ref="E208" si="129">E206*E207</f>
        <v>320</v>
      </c>
      <c r="F208" s="523" t="s">
        <v>1228</v>
      </c>
    </row>
    <row r="209" spans="2:6">
      <c r="B209" s="483"/>
    </row>
    <row r="210" spans="2:6">
      <c r="B210" s="481" t="str">
        <f>"Opening "&amp;nmSkill1</f>
        <v>Opening Technical Expertise</v>
      </c>
      <c r="E210" s="482">
        <f t="shared" ref="E210" si="130">obalConsumerSkill1</f>
        <v>8</v>
      </c>
    </row>
    <row r="211" spans="2:6">
      <c r="B211" s="462" t="s">
        <v>1003</v>
      </c>
      <c r="E211" s="482">
        <f t="shared" ref="E211" si="131">decConsumerSkill1</f>
        <v>0</v>
      </c>
    </row>
    <row r="212" spans="2:6">
      <c r="B212" s="483" t="str">
        <f>"Ending "&amp;nmSkill1</f>
        <v>Ending Technical Expertise</v>
      </c>
      <c r="E212" s="485">
        <f t="shared" ref="E212" si="132">SUM(E210:E211)</f>
        <v>8</v>
      </c>
      <c r="F212" s="523" t="s">
        <v>2623</v>
      </c>
    </row>
    <row r="213" spans="2:6">
      <c r="B213" s="483"/>
    </row>
    <row r="214" spans="2:6">
      <c r="B214" s="481" t="str">
        <f>"Opening "&amp;nmSkill2</f>
        <v>Opening Consultative Skills</v>
      </c>
      <c r="E214" s="482">
        <f t="shared" ref="E214" si="133">obalConsumerSkill2</f>
        <v>5</v>
      </c>
    </row>
    <row r="215" spans="2:6">
      <c r="B215" s="462" t="s">
        <v>1003</v>
      </c>
      <c r="E215" s="482">
        <f t="shared" ref="E215" si="134">decConsumerSkill2</f>
        <v>0</v>
      </c>
    </row>
    <row r="216" spans="2:6">
      <c r="B216" s="483" t="str">
        <f>"Ending "&amp;nmSkill2</f>
        <v>Ending Consultative Skills</v>
      </c>
      <c r="E216" s="485">
        <f t="shared" ref="E216" si="135">SUM(E214:E215)</f>
        <v>5</v>
      </c>
      <c r="F216" s="523" t="s">
        <v>2624</v>
      </c>
    </row>
    <row r="217" spans="2:6">
      <c r="B217" s="483"/>
    </row>
    <row r="218" spans="2:6">
      <c r="B218" s="481" t="s">
        <v>1018</v>
      </c>
      <c r="E218" s="482">
        <f t="shared" ref="E218" si="136">obalConsumerPartnerDevelopment</f>
        <v>5</v>
      </c>
    </row>
    <row r="219" spans="2:6">
      <c r="B219" s="462" t="s">
        <v>1003</v>
      </c>
      <c r="E219" s="482">
        <f t="shared" ref="E219" si="137">decConsumerPartnerDevelopment</f>
        <v>0</v>
      </c>
    </row>
    <row r="220" spans="2:6">
      <c r="B220" s="483" t="s">
        <v>1019</v>
      </c>
      <c r="E220" s="485">
        <f>SUM(E218:E219)</f>
        <v>5</v>
      </c>
      <c r="F220" s="462" t="s">
        <v>1213</v>
      </c>
    </row>
    <row r="221" spans="2:6">
      <c r="B221" s="483"/>
    </row>
    <row r="222" spans="2:6">
      <c r="B222" s="481" t="s">
        <v>1020</v>
      </c>
      <c r="E222" s="482">
        <f t="shared" ref="E222" si="138">obalConsumerPartnerIncentives</f>
        <v>4</v>
      </c>
    </row>
    <row r="223" spans="2:6">
      <c r="B223" s="462" t="s">
        <v>1003</v>
      </c>
      <c r="E223" s="482">
        <f t="shared" ref="E223" si="139">decConsumerPartnerIncentives</f>
        <v>0</v>
      </c>
    </row>
    <row r="224" spans="2:6">
      <c r="B224" s="483" t="s">
        <v>1021</v>
      </c>
      <c r="E224" s="485">
        <f>SUM(E222:E223)</f>
        <v>4</v>
      </c>
      <c r="F224" s="462" t="s">
        <v>1214</v>
      </c>
    </row>
    <row r="225" spans="1:12">
      <c r="B225" s="483"/>
    </row>
    <row r="226" spans="1:12">
      <c r="B226" s="481" t="s">
        <v>1022</v>
      </c>
      <c r="E226" s="482">
        <f t="shared" ref="E226" si="140">obalConsumerPartnerEducation</f>
        <v>3</v>
      </c>
    </row>
    <row r="227" spans="1:12">
      <c r="B227" s="462" t="s">
        <v>1003</v>
      </c>
      <c r="E227" s="482">
        <f t="shared" ref="E227" si="141">decConsumerPartnerEducation</f>
        <v>0</v>
      </c>
    </row>
    <row r="228" spans="1:12">
      <c r="B228" s="483" t="s">
        <v>1023</v>
      </c>
      <c r="E228" s="485">
        <f>SUM(E226:E227)</f>
        <v>3</v>
      </c>
      <c r="F228" s="462" t="s">
        <v>1215</v>
      </c>
    </row>
    <row r="230" spans="1:12" s="492" customFormat="1" ht="18.75" customHeight="1">
      <c r="A230" s="490"/>
      <c r="B230" s="491" t="s">
        <v>2200</v>
      </c>
      <c r="F230" s="493"/>
      <c r="G230" s="493"/>
      <c r="H230" s="493"/>
      <c r="J230" s="493"/>
      <c r="K230" s="493"/>
      <c r="L230" s="493"/>
    </row>
    <row r="232" spans="1:12">
      <c r="B232" s="481" t="str">
        <f>"Commercial "&amp;nmPartner1&amp;" Partner Development"</f>
        <v>Commercial ISV Partner Development</v>
      </c>
      <c r="E232" s="743">
        <f t="shared" ref="E232" si="142">cbalCommercialPartnerDevelopment*decCommercialPartner1Pct</f>
        <v>1.25</v>
      </c>
      <c r="F232" s="739" t="s">
        <v>2202</v>
      </c>
    </row>
    <row r="233" spans="1:12">
      <c r="B233" s="481" t="str">
        <f>"Commercial "&amp;nmPartner1&amp;" Partner Incentives"</f>
        <v>Commercial ISV Partner Incentives</v>
      </c>
      <c r="E233" s="743">
        <f t="shared" ref="E233" si="143">cbalCommercialPartnerIncentives*decCommercialPartner1Pct</f>
        <v>1</v>
      </c>
      <c r="F233" s="739" t="s">
        <v>2203</v>
      </c>
    </row>
    <row r="234" spans="1:12">
      <c r="B234" s="481" t="str">
        <f>"Commercial "&amp;nmPartner1&amp;" Partner Education"</f>
        <v>Commercial ISV Partner Education</v>
      </c>
      <c r="E234" s="743">
        <f t="shared" ref="E234" si="144">cbalCommercialPartnerIncentives*decCommercialPartner1Pct</f>
        <v>1</v>
      </c>
      <c r="F234" s="739" t="s">
        <v>2204</v>
      </c>
    </row>
    <row r="236" spans="1:12">
      <c r="B236" s="481" t="str">
        <f>"Commercial "&amp;nmPartner2&amp;" Partner Development"</f>
        <v>Commercial Systems Integrators Partner Development</v>
      </c>
      <c r="E236" s="743">
        <f t="shared" ref="E236" si="145">cbalCommercialPartnerDevelopment*decCommercialPartner2Pct</f>
        <v>1</v>
      </c>
      <c r="F236" s="739" t="s">
        <v>2205</v>
      </c>
    </row>
    <row r="237" spans="1:12">
      <c r="B237" s="481" t="str">
        <f>"Commercial "&amp;nmPartner2&amp;" Partner Incentives"</f>
        <v>Commercial Systems Integrators Partner Incentives</v>
      </c>
      <c r="E237" s="743">
        <f t="shared" ref="E237" si="146">cbalCommercialPartnerIncentives*decCommercialPartner2Pct</f>
        <v>0.8</v>
      </c>
      <c r="F237" s="739" t="s">
        <v>2206</v>
      </c>
    </row>
    <row r="238" spans="1:12">
      <c r="B238" s="481" t="str">
        <f>"Commercial "&amp;nmPartner2&amp;" Partner Education"</f>
        <v>Commercial Systems Integrators Partner Education</v>
      </c>
      <c r="E238" s="743">
        <f t="shared" ref="E238" si="147">cbalCommercialPartnerIncentives*decCommercialPartner2Pct</f>
        <v>0.8</v>
      </c>
      <c r="F238" s="739" t="s">
        <v>2207</v>
      </c>
    </row>
    <row r="240" spans="1:12">
      <c r="B240" s="481" t="str">
        <f>"Commercial "&amp;nmPartner3&amp;" Partner Development"</f>
        <v>Commercial Managed Services Partner Development</v>
      </c>
      <c r="E240" s="743">
        <f t="shared" ref="E240" si="148">cbalCommercialPartnerDevelopment*decCommercialPartner3Pct</f>
        <v>1.1000000000000001</v>
      </c>
      <c r="F240" s="739" t="s">
        <v>2208</v>
      </c>
    </row>
    <row r="241" spans="1:6">
      <c r="B241" s="481" t="str">
        <f>"Commercial "&amp;nmPartner3&amp;" Partner Incentives"</f>
        <v>Commercial Managed Services Partner Incentives</v>
      </c>
      <c r="E241" s="743">
        <f t="shared" ref="E241" si="149">cbalCommercialPartnerIncentives*decCommercialPartner3Pct</f>
        <v>0.88</v>
      </c>
      <c r="F241" s="739" t="s">
        <v>2209</v>
      </c>
    </row>
    <row r="242" spans="1:6">
      <c r="B242" s="481" t="str">
        <f>"Commercial "&amp;nmPartner3&amp;" Partner Education"</f>
        <v>Commercial Managed Services Partner Education</v>
      </c>
      <c r="E242" s="743">
        <f t="shared" ref="E242" si="150">cbalCommercialPartnerIncentives*decCommercialPartner3Pct</f>
        <v>0.88</v>
      </c>
      <c r="F242" s="739" t="s">
        <v>2210</v>
      </c>
    </row>
    <row r="244" spans="1:6">
      <c r="B244" s="481" t="str">
        <f>"Commercial "&amp;nmPartner4&amp;" Partner Development"</f>
        <v>Commercial Channels Partner Development</v>
      </c>
      <c r="E244" s="743">
        <f t="shared" ref="E244" si="151">cbalCommercialPartnerDevelopment*decCommercialPartner4Pct</f>
        <v>1.6500000000000004</v>
      </c>
      <c r="F244" s="739" t="s">
        <v>2211</v>
      </c>
    </row>
    <row r="245" spans="1:6">
      <c r="B245" s="481" t="str">
        <f>"Commercial "&amp;nmPartner4&amp;" Partner Incentives"</f>
        <v>Commercial Channels Partner Incentives</v>
      </c>
      <c r="E245" s="743">
        <f t="shared" ref="E245" si="152">cbalCommercialPartnerIncentives*decCommercialPartner4Pct</f>
        <v>1.3200000000000003</v>
      </c>
      <c r="F245" s="739" t="s">
        <v>2212</v>
      </c>
    </row>
    <row r="246" spans="1:6">
      <c r="B246" s="481" t="str">
        <f>"Commercial "&amp;nmPartner4&amp;" Partner Education"</f>
        <v>Commercial Channels Partner Education</v>
      </c>
      <c r="E246" s="743">
        <f t="shared" ref="E246" si="153">cbalCommercialPartnerIncentives*decCommercialPartner4Pct</f>
        <v>1.3200000000000003</v>
      </c>
      <c r="F246" s="739" t="s">
        <v>2213</v>
      </c>
    </row>
    <row r="248" spans="1:6">
      <c r="B248" s="481" t="str">
        <f>"Consumer "&amp;nmPartner4&amp;" Partner Development"</f>
        <v>Consumer Channels Partner Development</v>
      </c>
      <c r="E248" s="743">
        <f t="shared" ref="E248" si="154">cbalConsumerPartnerDevelopment*decConsumerPartner4Pct</f>
        <v>1.6500000000000001</v>
      </c>
      <c r="F248" s="739" t="s">
        <v>2224</v>
      </c>
    </row>
    <row r="249" spans="1:6">
      <c r="B249" s="481" t="str">
        <f>"Consumer "&amp;nmPartner4&amp;" Partner Incentives"</f>
        <v>Consumer Channels Partner Incentives</v>
      </c>
      <c r="E249" s="743">
        <f t="shared" ref="E249" si="155">cbalConsumerPartnerIncentives*decConsumerPartner4Pct</f>
        <v>1.32</v>
      </c>
      <c r="F249" s="739" t="s">
        <v>2225</v>
      </c>
    </row>
    <row r="250" spans="1:6">
      <c r="B250" s="481" t="str">
        <f>"Consumer "&amp;nmPartner4&amp;" Partner Education"</f>
        <v>Consumer Channels Partner Education</v>
      </c>
      <c r="E250" s="743">
        <f t="shared" ref="E250" si="156">cbalConsumerPartnerIncentives*decConsumerPartner4Pct</f>
        <v>1.32</v>
      </c>
      <c r="F250" s="739" t="s">
        <v>2226</v>
      </c>
    </row>
    <row r="251" spans="1:6">
      <c r="A251" s="739" t="s">
        <v>2214</v>
      </c>
    </row>
    <row r="252" spans="1:6">
      <c r="B252" s="481" t="str">
        <f>"Consumer "&amp;nmPartner5&amp;" Partner Development"</f>
        <v>Consumer Retailer Partner Development</v>
      </c>
      <c r="E252" s="743">
        <f t="shared" ref="E252" si="157">cbalConsumerPartnerDevelopment*decConsumerPartner5Pct</f>
        <v>1.6500000000000001</v>
      </c>
      <c r="F252" s="739" t="s">
        <v>2227</v>
      </c>
    </row>
    <row r="253" spans="1:6">
      <c r="B253" s="481" t="str">
        <f>"Consumer "&amp;nmPartner5&amp;" Partner Incentives"</f>
        <v>Consumer Retailer Partner Incentives</v>
      </c>
      <c r="E253" s="743">
        <f t="shared" ref="E253" si="158">cbalConsumerPartnerIncentives*decConsumerPartner5Pct</f>
        <v>1.32</v>
      </c>
      <c r="F253" s="739" t="s">
        <v>2228</v>
      </c>
    </row>
    <row r="254" spans="1:6">
      <c r="B254" s="481" t="str">
        <f>"Consumer "&amp;nmPartner5&amp;" Partner Education"</f>
        <v>Consumer Retailer Partner Education</v>
      </c>
      <c r="E254" s="743">
        <f t="shared" ref="E254" si="159">cbalConsumerPartnerIncentives*decConsumerPartner5Pct</f>
        <v>1.32</v>
      </c>
      <c r="F254" s="739" t="s">
        <v>2229</v>
      </c>
    </row>
    <row r="255" spans="1:6">
      <c r="A255" s="739" t="s">
        <v>2214</v>
      </c>
    </row>
    <row r="256" spans="1:6">
      <c r="B256" s="481" t="str">
        <f>"Consumer "&amp;nmPartner6&amp;" Partner Development"</f>
        <v>Consumer Developer Partner Development</v>
      </c>
      <c r="E256" s="743">
        <f t="shared" ref="E256" si="160">cbalConsumerPartnerDevelopment*decConsumerPartner6Pct</f>
        <v>1.6999999999999995</v>
      </c>
      <c r="F256" s="739" t="s">
        <v>2230</v>
      </c>
    </row>
    <row r="257" spans="2:9">
      <c r="B257" s="481" t="str">
        <f>"Consumer "&amp;nmPartner6&amp;" Partner Incentives"</f>
        <v>Consumer Developer Partner Incentives</v>
      </c>
      <c r="E257" s="743">
        <f t="shared" ref="E257" si="161">cbalConsumerPartnerIncentives*decConsumerPartner6Pct</f>
        <v>1.3599999999999997</v>
      </c>
      <c r="F257" s="739" t="s">
        <v>2231</v>
      </c>
    </row>
    <row r="258" spans="2:9">
      <c r="B258" s="481" t="str">
        <f>"Consumer "&amp;nmPartner6&amp;" Partner Education"</f>
        <v>Consumer Developer Partner Education</v>
      </c>
      <c r="E258" s="743">
        <f t="shared" ref="E258" si="162">cbalConsumerPartnerIncentives*decConsumerPartner6Pct</f>
        <v>1.3599999999999997</v>
      </c>
      <c r="F258" s="739" t="s">
        <v>2232</v>
      </c>
    </row>
    <row r="259" spans="2:9" s="741" customFormat="1">
      <c r="E259" s="742"/>
      <c r="F259" s="742"/>
      <c r="G259" s="742"/>
      <c r="H259" s="742"/>
      <c r="I259" s="742"/>
    </row>
    <row r="260" spans="2:9">
      <c r="B260" s="462" t="str">
        <f>nmProd1Seg1&amp;" MM Score"</f>
        <v>Productivity &amp; Business Enterprise MM Score</v>
      </c>
      <c r="E260" s="742"/>
      <c r="F260" s="742"/>
      <c r="G260" s="742"/>
      <c r="H260" s="742"/>
      <c r="I260" s="742"/>
    </row>
    <row r="261" spans="2:9">
      <c r="B261" s="744" t="str">
        <f>nmPartner3</f>
        <v>Managed Services</v>
      </c>
      <c r="E261" s="743">
        <f t="shared" ref="E261" si="163">calcCommercialMMPartner3Development+calcCommercialMMPartner3Incentives</f>
        <v>1.98</v>
      </c>
    </row>
    <row r="262" spans="2:9">
      <c r="B262" s="744" t="str">
        <f>nmPartner4</f>
        <v>Channels</v>
      </c>
      <c r="E262" s="743">
        <f t="shared" ref="E262" si="164">calcCommercialMMPartner4Development+calcCommercialMMPartner4Incentives</f>
        <v>2.9700000000000006</v>
      </c>
    </row>
    <row r="263" spans="2:9">
      <c r="B263" s="745" t="s">
        <v>2215</v>
      </c>
      <c r="E263" s="734">
        <f>SUM(E261:E262)</f>
        <v>4.9500000000000011</v>
      </c>
      <c r="F263" s="739" t="s">
        <v>2216</v>
      </c>
    </row>
    <row r="265" spans="2:9">
      <c r="B265" s="462" t="str">
        <f>nmProd1Seg2&amp;" MM Score"</f>
        <v>Productivity &amp; Business SMC MM Score</v>
      </c>
      <c r="E265" s="742"/>
      <c r="F265" s="742"/>
      <c r="G265" s="742"/>
      <c r="H265" s="742"/>
      <c r="I265" s="742"/>
    </row>
    <row r="266" spans="2:9">
      <c r="B266" s="744" t="str">
        <f>nmPartner2</f>
        <v>Systems Integrators</v>
      </c>
      <c r="E266" s="743">
        <f t="shared" ref="E266" si="165">calcCommercialMMPartner2Development+calcCommercialMMPartner2Incentives</f>
        <v>1.8</v>
      </c>
    </row>
    <row r="267" spans="2:9">
      <c r="B267" s="744" t="str">
        <f>nmPartner4</f>
        <v>Channels</v>
      </c>
      <c r="E267" s="743">
        <f t="shared" ref="E267" si="166">calcCommercialMMPartner4Development+calcCommercialMMPartner4Incentives</f>
        <v>2.9700000000000006</v>
      </c>
    </row>
    <row r="268" spans="2:9">
      <c r="B268" s="745" t="s">
        <v>2215</v>
      </c>
      <c r="E268" s="734">
        <f t="shared" ref="E268" si="167">SUM(E266:E267)</f>
        <v>4.7700000000000005</v>
      </c>
      <c r="F268" s="739" t="s">
        <v>2217</v>
      </c>
    </row>
    <row r="270" spans="2:9">
      <c r="B270" s="462" t="str">
        <f>nmProd1Seg3&amp;" MM Score"</f>
        <v>Productivity &amp; Business Consumer MM Score</v>
      </c>
      <c r="E270" s="742"/>
      <c r="F270" s="742"/>
      <c r="G270" s="742"/>
      <c r="H270" s="742"/>
      <c r="I270" s="742"/>
    </row>
    <row r="271" spans="2:9">
      <c r="B271" s="744" t="str">
        <f>nmPartner5</f>
        <v>Retailer</v>
      </c>
      <c r="E271" s="743">
        <f t="shared" ref="E271" si="168">calcConsumerMMPartner5Development+calcConsumerMMPartner5Incentives</f>
        <v>2.97</v>
      </c>
    </row>
    <row r="272" spans="2:9">
      <c r="B272" s="744" t="str">
        <f>nmPartner4</f>
        <v>Channels</v>
      </c>
      <c r="E272" s="743">
        <f t="shared" ref="E272" si="169">calcConsumerMMPartner4Development+calcConsumerMMPartner4Incentives</f>
        <v>2.97</v>
      </c>
    </row>
    <row r="273" spans="2:9">
      <c r="B273" s="745" t="s">
        <v>2215</v>
      </c>
      <c r="E273" s="734">
        <f t="shared" ref="E273" si="170">SUM(E271:E272)</f>
        <v>5.94</v>
      </c>
      <c r="F273" s="739" t="s">
        <v>2220</v>
      </c>
    </row>
    <row r="274" spans="2:9" s="741" customFormat="1">
      <c r="E274" s="742"/>
      <c r="F274" s="742"/>
      <c r="G274" s="742"/>
      <c r="H274" s="742"/>
      <c r="I274" s="742"/>
    </row>
    <row r="275" spans="2:9">
      <c r="B275" s="462" t="str">
        <f>nmProd2Seg1&amp;" MM Score"</f>
        <v>Intelligent Cloud Enterprise MM Score</v>
      </c>
      <c r="E275" s="742"/>
      <c r="F275" s="742"/>
      <c r="G275" s="742"/>
      <c r="H275" s="742"/>
      <c r="I275" s="742"/>
    </row>
    <row r="276" spans="2:9">
      <c r="B276" s="744" t="str">
        <f>nmPartner3</f>
        <v>Managed Services</v>
      </c>
      <c r="E276" s="743">
        <f t="shared" ref="E276" si="171">calcCommercialMMPartner3Development+calcCommercialMMPartner3Incentives</f>
        <v>1.98</v>
      </c>
    </row>
    <row r="277" spans="2:9">
      <c r="B277" s="744" t="str">
        <f>nmPartner1</f>
        <v>ISV</v>
      </c>
      <c r="E277" s="743">
        <f t="shared" ref="E277" si="172">calcCommercialMMPartner1Development+calcCommercialMMPartner1Incentives</f>
        <v>2.25</v>
      </c>
    </row>
    <row r="278" spans="2:9">
      <c r="B278" s="745" t="s">
        <v>2215</v>
      </c>
      <c r="E278" s="734">
        <f t="shared" ref="E278" si="173">SUM(E276:E277)</f>
        <v>4.2300000000000004</v>
      </c>
      <c r="F278" s="739" t="s">
        <v>2218</v>
      </c>
    </row>
    <row r="280" spans="2:9">
      <c r="B280" s="462" t="str">
        <f>nmProd2Seg2&amp;" MM Score"</f>
        <v>Intelligent Cloud SMC MM Score</v>
      </c>
      <c r="E280" s="742"/>
      <c r="F280" s="742"/>
      <c r="G280" s="742"/>
      <c r="H280" s="742"/>
      <c r="I280" s="742"/>
    </row>
    <row r="281" spans="2:9">
      <c r="B281" s="744" t="str">
        <f>nmPartner2</f>
        <v>Systems Integrators</v>
      </c>
      <c r="E281" s="743">
        <f t="shared" ref="E281" si="174">calcCommercialMMPartner2Development+calcCommercialMMPartner2Incentives</f>
        <v>1.8</v>
      </c>
    </row>
    <row r="282" spans="2:9">
      <c r="B282" s="744" t="str">
        <f>nmPartner1</f>
        <v>ISV</v>
      </c>
      <c r="E282" s="743">
        <f t="shared" ref="E282" si="175">calcCommercialMMPartner1Development+calcCommercialMMPartner1Incentives</f>
        <v>2.25</v>
      </c>
    </row>
    <row r="283" spans="2:9">
      <c r="B283" s="745" t="s">
        <v>2215</v>
      </c>
      <c r="E283" s="734">
        <f t="shared" ref="E283" si="176">SUM(E281:E282)</f>
        <v>4.05</v>
      </c>
      <c r="F283" s="739" t="s">
        <v>2219</v>
      </c>
    </row>
    <row r="284" spans="2:9" s="741" customFormat="1">
      <c r="E284" s="742"/>
      <c r="F284" s="742"/>
      <c r="G284" s="742"/>
      <c r="H284" s="742"/>
      <c r="I284" s="742"/>
    </row>
    <row r="285" spans="2:9">
      <c r="B285" s="462" t="str">
        <f>nmProd3Seg1&amp;" MM Score"</f>
        <v>Personal Computing Enterprise MM Score</v>
      </c>
      <c r="E285" s="742"/>
      <c r="F285" s="742"/>
      <c r="G285" s="742"/>
      <c r="H285" s="742"/>
      <c r="I285" s="742"/>
    </row>
    <row r="286" spans="2:9">
      <c r="B286" s="744" t="str">
        <f>nmPartner2</f>
        <v>Systems Integrators</v>
      </c>
      <c r="E286" s="743">
        <f t="shared" ref="E286" si="177">calcCommercialMMPartner2Development+calcCommercialMMPartner2Incentives</f>
        <v>1.8</v>
      </c>
    </row>
    <row r="287" spans="2:9">
      <c r="B287" s="744" t="str">
        <f>nmPartner4</f>
        <v>Channels</v>
      </c>
      <c r="E287" s="743">
        <f t="shared" ref="E287" si="178">calcCommercialMMPartner4Development+calcCommercialMMPartner4Incentives</f>
        <v>2.9700000000000006</v>
      </c>
    </row>
    <row r="288" spans="2:9">
      <c r="B288" s="745" t="s">
        <v>2215</v>
      </c>
      <c r="E288" s="734">
        <f t="shared" ref="E288" si="179">SUM(E286:E287)</f>
        <v>4.7700000000000005</v>
      </c>
      <c r="F288" s="739" t="s">
        <v>2221</v>
      </c>
    </row>
    <row r="290" spans="1:12">
      <c r="B290" s="462" t="str">
        <f>nmProd3Seg2&amp;" MM Score"</f>
        <v>Personal Computing SMC MM Score</v>
      </c>
      <c r="E290" s="742"/>
      <c r="F290" s="742"/>
      <c r="G290" s="742"/>
      <c r="H290" s="742"/>
      <c r="I290" s="742"/>
    </row>
    <row r="291" spans="1:12">
      <c r="B291" s="744" t="str">
        <f>nmPartner2</f>
        <v>Systems Integrators</v>
      </c>
      <c r="E291" s="743">
        <f t="shared" ref="E291" si="180">calcCommercialMMPartner2Development+calcCommercialMMPartner2Incentives</f>
        <v>1.8</v>
      </c>
    </row>
    <row r="292" spans="1:12">
      <c r="B292" s="744" t="str">
        <f>nmPartner4</f>
        <v>Channels</v>
      </c>
      <c r="E292" s="743">
        <f t="shared" ref="E292" si="181">calcCommercialMMPartner4Development+calcCommercialMMPartner4Incentives</f>
        <v>2.9700000000000006</v>
      </c>
    </row>
    <row r="293" spans="1:12">
      <c r="B293" s="745" t="s">
        <v>2215</v>
      </c>
      <c r="E293" s="734">
        <f t="shared" ref="E293" si="182">SUM(E291:E292)</f>
        <v>4.7700000000000005</v>
      </c>
      <c r="F293" s="739" t="s">
        <v>2222</v>
      </c>
    </row>
    <row r="295" spans="1:12">
      <c r="B295" s="462" t="str">
        <f>nmProd3Seg3&amp;" MM Score"</f>
        <v>Personal Computing Consumer MM Score</v>
      </c>
      <c r="E295" s="742"/>
      <c r="F295" s="742"/>
      <c r="G295" s="742"/>
      <c r="H295" s="742"/>
      <c r="I295" s="742"/>
    </row>
    <row r="296" spans="1:12">
      <c r="B296" s="744" t="str">
        <f>nmPartner4</f>
        <v>Channels</v>
      </c>
      <c r="E296" s="743">
        <f t="shared" ref="E296" si="183">calcConsumerMMPartner4Development+calcConsumerMMPartner4Incentives</f>
        <v>2.97</v>
      </c>
    </row>
    <row r="297" spans="1:12">
      <c r="B297" s="744" t="str">
        <f>nmPartner6</f>
        <v>Developer</v>
      </c>
      <c r="E297" s="743">
        <f t="shared" ref="E297" si="184">calcConsumerMMPartner6Development+calcConsumerMMPartner6Incentives</f>
        <v>3.0599999999999992</v>
      </c>
    </row>
    <row r="298" spans="1:12">
      <c r="B298" s="745" t="s">
        <v>2215</v>
      </c>
      <c r="E298" s="734">
        <f t="shared" ref="E298" si="185">SUM(E296:E297)</f>
        <v>6.0299999999999994</v>
      </c>
      <c r="F298" s="739" t="s">
        <v>2223</v>
      </c>
    </row>
    <row r="300" spans="1:12" s="492" customFormat="1" ht="18.75" customHeight="1">
      <c r="A300" s="490"/>
      <c r="B300" s="491" t="s">
        <v>2137</v>
      </c>
      <c r="F300" s="493"/>
      <c r="G300" s="493"/>
      <c r="H300" s="493"/>
      <c r="J300" s="493"/>
      <c r="K300" s="493"/>
      <c r="L300" s="493"/>
    </row>
    <row r="302" spans="1:12">
      <c r="B302" s="739" t="str">
        <f>nmSeg1&amp;" Sales Force"</f>
        <v>Enterprise Sales Force</v>
      </c>
      <c r="E302" s="743">
        <f t="shared" ref="E302" si="186">calcCommercialDirectSalesFTEs</f>
        <v>250</v>
      </c>
    </row>
    <row r="303" spans="1:12">
      <c r="B303" s="462" t="str">
        <f>nmSkill2</f>
        <v>Consultative Skills</v>
      </c>
      <c r="E303" s="524">
        <f t="shared" ref="E303" si="187">1+(cbalCommercialSkill2/100)</f>
        <v>1.05</v>
      </c>
    </row>
    <row r="304" spans="1:12">
      <c r="B304" s="462" t="str">
        <f>nmSkill3</f>
        <v>Industry Expertise</v>
      </c>
      <c r="E304" s="524">
        <f t="shared" ref="E304" si="188">1+(cbalCommercialSkill3/100)</f>
        <v>1.02</v>
      </c>
    </row>
    <row r="305" spans="2:6">
      <c r="B305" s="483" t="str">
        <f>nmSeg1&amp;" Sales Force Effectiveness"</f>
        <v>Enterprise Sales Force Effectiveness</v>
      </c>
      <c r="E305" s="746">
        <f>PRODUCT(E302:E304)</f>
        <v>267.75</v>
      </c>
      <c r="F305" s="739" t="s">
        <v>2233</v>
      </c>
    </row>
    <row r="307" spans="2:6">
      <c r="B307" s="739" t="str">
        <f>nmSeg2&amp;" Sales Force"</f>
        <v>SMC Sales Force</v>
      </c>
      <c r="E307" s="743">
        <f t="shared" ref="E307" si="189">calcCommercialDirectSalesFTEs</f>
        <v>250</v>
      </c>
    </row>
    <row r="308" spans="2:6">
      <c r="B308" s="1277" t="s">
        <v>3209</v>
      </c>
      <c r="E308" s="524">
        <f t="shared" ref="E308" ca="1" si="190">calcGlobalDemandCenterKicker</f>
        <v>0.98</v>
      </c>
    </row>
    <row r="309" spans="2:6">
      <c r="B309" s="462" t="str">
        <f>nmSkill2</f>
        <v>Consultative Skills</v>
      </c>
      <c r="E309" s="524">
        <f t="shared" ref="E309" si="191">1+(cbalCommercialSkill2/100)</f>
        <v>1.05</v>
      </c>
    </row>
    <row r="310" spans="2:6">
      <c r="B310" s="462" t="str">
        <f>nmSkill3</f>
        <v>Industry Expertise</v>
      </c>
      <c r="E310" s="524">
        <f t="shared" ref="E310" si="192">1+(cbalCommercialSkill3/100)</f>
        <v>1.02</v>
      </c>
    </row>
    <row r="311" spans="2:6">
      <c r="B311" s="483" t="str">
        <f>nmSeg2&amp;" Sales Force Effectiveness"</f>
        <v>SMC Sales Force Effectiveness</v>
      </c>
      <c r="E311" s="746">
        <f t="shared" ref="E311" ca="1" si="193">PRODUCT(E307:E310)</f>
        <v>262.39499999999998</v>
      </c>
      <c r="F311" s="739" t="s">
        <v>2234</v>
      </c>
    </row>
    <row r="313" spans="2:6">
      <c r="B313" s="739" t="str">
        <f>nmSeg3&amp;" Sales Force"</f>
        <v>Consumer Sales Force</v>
      </c>
      <c r="E313" s="743">
        <f t="shared" ref="E313" si="194">calcConsumerDirectSalesFTEs</f>
        <v>190</v>
      </c>
    </row>
    <row r="314" spans="2:6">
      <c r="B314" s="462" t="str">
        <f>nmSkill2</f>
        <v>Consultative Skills</v>
      </c>
      <c r="E314" s="524">
        <f t="shared" ref="E314" si="195">1+(cbalConsumerSkill2/100)</f>
        <v>1.05</v>
      </c>
    </row>
    <row r="315" spans="2:6">
      <c r="B315" s="483" t="str">
        <f>nmSeg3&amp;" Sales Force Effectiveness"</f>
        <v>Consumer Sales Force Effectiveness</v>
      </c>
      <c r="E315" s="746">
        <f t="shared" ref="E315" si="196">PRODUCT(E313:E314)</f>
        <v>199.5</v>
      </c>
      <c r="F315" s="739" t="s">
        <v>2235</v>
      </c>
    </row>
  </sheetData>
  <hyperlinks>
    <hyperlink ref="C5" r:id="rId1"/>
  </hyperlinks>
  <pageMargins left="0.7" right="0.7" top="0.75" bottom="0.75" header="0.3" footer="0.3"/>
  <pageSetup orientation="portrait" horizontalDpi="4294967292"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2"/>
  </sheetPr>
  <dimension ref="A1:L381"/>
  <sheetViews>
    <sheetView topLeftCell="A147" workbookViewId="0">
      <selection activeCell="E160" sqref="E160"/>
    </sheetView>
  </sheetViews>
  <sheetFormatPr defaultColWidth="15.26953125" defaultRowHeight="12.75" customHeight="1"/>
  <cols>
    <col min="1" max="2" width="2.36328125" style="372" customWidth="1"/>
    <col min="3" max="3" width="2.7265625" style="372" customWidth="1"/>
    <col min="4" max="4" width="38.90625" style="372" customWidth="1"/>
    <col min="5" max="5" width="14.81640625" style="372" customWidth="1"/>
    <col min="6" max="6" width="20.453125" style="372" customWidth="1"/>
    <col min="7" max="7" width="10.453125" style="372" customWidth="1"/>
    <col min="8" max="16384" width="15.26953125" style="372"/>
  </cols>
  <sheetData>
    <row r="1" spans="1:12" s="874" customFormat="1" ht="16.2">
      <c r="A1" s="873" t="s">
        <v>1421</v>
      </c>
      <c r="B1" s="873"/>
      <c r="E1" s="874" t="s">
        <v>7</v>
      </c>
      <c r="G1" s="875"/>
      <c r="H1" s="875"/>
      <c r="I1" s="875"/>
      <c r="J1" s="875"/>
      <c r="L1" s="873"/>
    </row>
    <row r="2" spans="1:12" s="874" customFormat="1" ht="16.2">
      <c r="A2" s="876" t="s">
        <v>2630</v>
      </c>
      <c r="B2" s="873"/>
      <c r="E2" s="874" t="b">
        <f>xxNumOfTeams&gt;0</f>
        <v>1</v>
      </c>
      <c r="F2" s="873" t="s">
        <v>2636</v>
      </c>
      <c r="G2" s="875"/>
      <c r="H2" s="875"/>
      <c r="I2" s="875"/>
      <c r="J2" s="875"/>
      <c r="L2" s="873"/>
    </row>
    <row r="3" spans="1:12" s="395" customFormat="1" ht="13.8">
      <c r="A3" s="395" t="s">
        <v>890</v>
      </c>
      <c r="E3" s="396"/>
    </row>
    <row r="4" spans="1:12" s="580" customFormat="1" ht="13.8">
      <c r="B4" s="581" t="s">
        <v>419</v>
      </c>
      <c r="C4" s="581"/>
      <c r="D4" s="581"/>
      <c r="E4" s="582"/>
    </row>
    <row r="5" spans="1:12" s="370" customFormat="1" ht="16.8">
      <c r="A5" s="372"/>
      <c r="B5" s="372"/>
      <c r="C5" s="372"/>
      <c r="D5" s="372"/>
      <c r="E5" s="373"/>
      <c r="F5" s="372"/>
      <c r="G5" s="372"/>
    </row>
    <row r="6" spans="1:12" s="370" customFormat="1" ht="16.8">
      <c r="A6" s="372"/>
      <c r="B6" s="372"/>
      <c r="C6" s="372"/>
      <c r="D6" s="372"/>
      <c r="E6" s="373"/>
      <c r="F6" s="372"/>
      <c r="G6" s="372"/>
      <c r="H6" s="926" t="s">
        <v>179</v>
      </c>
    </row>
    <row r="7" spans="1:12" s="370" customFormat="1" ht="16.8">
      <c r="A7" s="372"/>
      <c r="B7" s="372"/>
      <c r="C7" s="372"/>
      <c r="D7" s="629" t="s">
        <v>1646</v>
      </c>
      <c r="E7" s="925">
        <f t="shared" ref="E7" si="0">IF(xxRound&lt;2,1,cbalInternalReadiness/$H7)</f>
        <v>1</v>
      </c>
      <c r="F7" s="629" t="s">
        <v>2692</v>
      </c>
      <c r="G7" s="629" t="s">
        <v>2693</v>
      </c>
      <c r="H7" s="927">
        <v>110</v>
      </c>
    </row>
    <row r="8" spans="1:12" s="370" customFormat="1" ht="16.8">
      <c r="A8" s="372"/>
      <c r="B8" s="372"/>
      <c r="C8" s="372"/>
      <c r="D8" s="629" t="str">
        <f>nmSkill2</f>
        <v>Consultative Skills</v>
      </c>
      <c r="E8" s="925">
        <f t="shared" ref="E8" si="1">IF(xxRound&lt;2,1,cbalCommercialSkill2/$H8)</f>
        <v>1</v>
      </c>
      <c r="F8" s="629" t="s">
        <v>2700</v>
      </c>
      <c r="G8" s="629" t="s">
        <v>2693</v>
      </c>
      <c r="H8" s="927">
        <v>17</v>
      </c>
    </row>
    <row r="9" spans="1:12" s="370" customFormat="1" ht="16.8">
      <c r="A9" s="372"/>
      <c r="B9" s="372"/>
      <c r="C9" s="372"/>
      <c r="D9" s="629" t="s">
        <v>423</v>
      </c>
      <c r="E9" s="925">
        <f>PRODUCT(E7:E8)</f>
        <v>1</v>
      </c>
      <c r="F9" s="629" t="s">
        <v>2694</v>
      </c>
      <c r="G9" s="372"/>
    </row>
    <row r="10" spans="1:12" s="370" customFormat="1" ht="16.8">
      <c r="A10" s="372"/>
      <c r="B10" s="372"/>
      <c r="C10" s="372"/>
      <c r="D10" s="372"/>
      <c r="E10" s="373"/>
      <c r="F10" s="372"/>
      <c r="G10" s="372"/>
    </row>
    <row r="11" spans="1:12" s="370" customFormat="1" ht="16.8">
      <c r="A11" s="372"/>
      <c r="B11" s="372"/>
      <c r="C11" s="372"/>
      <c r="D11" s="629" t="s">
        <v>419</v>
      </c>
      <c r="E11" s="929">
        <f t="shared" ref="E11" si="2">decCommercialCloudMigration*calcCloudMigrationSuccessRate</f>
        <v>0</v>
      </c>
      <c r="F11" s="629" t="s">
        <v>2691</v>
      </c>
      <c r="G11" s="372"/>
    </row>
    <row r="12" spans="1:12" s="370" customFormat="1" ht="16.8">
      <c r="A12" s="372"/>
      <c r="B12" s="372"/>
      <c r="C12" s="372"/>
      <c r="D12" s="629" t="s">
        <v>2696</v>
      </c>
      <c r="E12" s="929">
        <f t="shared" ref="E12" si="3">decCommercialCloudMigration*(1-calcCloudMigrationSuccessRate)</f>
        <v>0</v>
      </c>
      <c r="F12" s="629" t="s">
        <v>2697</v>
      </c>
      <c r="G12" s="372"/>
    </row>
    <row r="13" spans="1:12" s="370" customFormat="1" ht="16.8">
      <c r="A13" s="372"/>
      <c r="B13" s="372"/>
      <c r="C13" s="372"/>
      <c r="D13" s="372"/>
      <c r="E13" s="373"/>
      <c r="F13" s="372"/>
      <c r="G13" s="372"/>
    </row>
    <row r="14" spans="1:12" s="580" customFormat="1" ht="13.8">
      <c r="B14" s="581" t="str">
        <f>nmProd1Seg1</f>
        <v>Productivity &amp; Business Enterprise</v>
      </c>
      <c r="C14" s="581"/>
      <c r="D14" s="924"/>
      <c r="E14" s="582"/>
    </row>
    <row r="15" spans="1:12" ht="13.8"/>
    <row r="16" spans="1:12" ht="13.8">
      <c r="C16" s="393" t="s">
        <v>216</v>
      </c>
    </row>
    <row r="17" spans="3:7" ht="13.8"/>
    <row r="18" spans="3:7" ht="13.8">
      <c r="D18" s="629" t="s">
        <v>492</v>
      </c>
      <c r="E18" s="928">
        <f t="shared" ref="E18" si="4">obalProd1Seg1NonCloudSubs*calcCloudMigration</f>
        <v>0</v>
      </c>
      <c r="F18" s="629" t="s">
        <v>2240</v>
      </c>
      <c r="G18" s="371"/>
    </row>
    <row r="19" spans="3:7" ht="13.8">
      <c r="D19" s="629" t="s">
        <v>2698</v>
      </c>
      <c r="E19" s="928">
        <f t="shared" ref="E19" si="5">obalProd1Seg1NonCloudSubs*calcCloudMigrationChurnRate</f>
        <v>0</v>
      </c>
      <c r="F19" s="629" t="s">
        <v>2695</v>
      </c>
      <c r="G19" s="371"/>
    </row>
    <row r="20" spans="3:7" ht="13.8"/>
    <row r="21" spans="3:7" ht="13.8">
      <c r="D21" s="372" t="s">
        <v>889</v>
      </c>
      <c r="E21" s="403">
        <f>IF(xxSim0Tool1=1,decCommercialProd1Seg1Share*INDEX(mmSubProd1Seg1NewTAM,xxRound+1)+CalcProd1Seg1CloudMigrationSubs,mmSubProd1Seg1NewSubs+E18:E18)</f>
        <v>2192230.2600000026</v>
      </c>
      <c r="F21" s="372" t="s">
        <v>1986</v>
      </c>
      <c r="G21" s="371"/>
    </row>
    <row r="22" spans="3:7" ht="13.8">
      <c r="D22" s="372" t="s">
        <v>888</v>
      </c>
      <c r="E22" s="403">
        <f t="shared" ref="E22" si="6">IF(xxSim0Tool1=1,obalProd1Seg1TotalSubs*calcRenRateProd1Seg1RenewalRateEnd,mmSubProd1Seg1RenewedSubs)</f>
        <v>3640926.511522525</v>
      </c>
      <c r="F22" s="372" t="s">
        <v>1987</v>
      </c>
      <c r="G22" s="371"/>
    </row>
    <row r="23" spans="3:7" ht="13.8">
      <c r="D23" s="372" t="s">
        <v>1647</v>
      </c>
      <c r="E23" s="403">
        <f t="shared" ref="E23" si="7">obalProd1Seg1NonCloudSubs-CalcProd1Seg1CloudMigrationSubs-CalcProd1Seg1CloudMigrationChurnSubs</f>
        <v>2842400</v>
      </c>
      <c r="F23" s="629" t="s">
        <v>1988</v>
      </c>
      <c r="G23" s="371"/>
    </row>
    <row r="24" spans="3:7" ht="13.8">
      <c r="D24" s="629" t="s">
        <v>50</v>
      </c>
      <c r="E24" s="397">
        <f>SUM(E21:E23)</f>
        <v>8675556.7715225276</v>
      </c>
      <c r="F24" s="629" t="s">
        <v>1989</v>
      </c>
      <c r="G24" s="371"/>
    </row>
    <row r="25" spans="3:7" ht="13.8">
      <c r="E25" s="702"/>
    </row>
    <row r="26" spans="3:7" ht="13.8">
      <c r="D26" s="629" t="s">
        <v>399</v>
      </c>
      <c r="E26" s="701">
        <f t="shared" ref="E26" si="8">(CalcProd1Seg1NewVolume+CalcProd1Seg1RenewalVolume)/CalcProd1Seg1TotalVolume</f>
        <v>0.67236684919979273</v>
      </c>
      <c r="F26" s="629" t="s">
        <v>1990</v>
      </c>
    </row>
    <row r="27" spans="3:7" ht="13.8"/>
    <row r="28" spans="3:7" ht="13.8">
      <c r="D28" s="372" t="s">
        <v>1647</v>
      </c>
      <c r="E28" s="403">
        <f t="shared" ref="E28" si="9">(obalProd1Seg1NonCloudSubs*decCommercialCloudMigration)</f>
        <v>0</v>
      </c>
      <c r="F28" s="629" t="s">
        <v>2240</v>
      </c>
      <c r="G28" s="371"/>
    </row>
    <row r="29" spans="3:7" ht="13.8">
      <c r="F29" s="629"/>
      <c r="G29" s="371"/>
    </row>
    <row r="30" spans="3:7" ht="13.8">
      <c r="C30" s="393" t="s">
        <v>1597</v>
      </c>
    </row>
    <row r="31" spans="3:7" ht="13.8">
      <c r="D31" s="372" t="s">
        <v>889</v>
      </c>
      <c r="E31" s="403">
        <f t="shared" ref="E31" si="10">CalcProd1Seg1NewVolume/paramSeg1SubsPCustomer</f>
        <v>219.22302600000026</v>
      </c>
      <c r="F31" s="372" t="s">
        <v>1991</v>
      </c>
      <c r="G31" s="371"/>
    </row>
    <row r="32" spans="3:7" ht="13.8">
      <c r="D32" s="372" t="s">
        <v>888</v>
      </c>
      <c r="E32" s="403">
        <f t="shared" ref="E32" si="11">CalcProd1Seg1RenewalVolume/paramSeg1SubsPCustomer</f>
        <v>364.09265115225247</v>
      </c>
      <c r="F32" s="372" t="s">
        <v>1992</v>
      </c>
      <c r="G32" s="371"/>
    </row>
    <row r="33" spans="1:7" ht="13.8">
      <c r="D33" s="629" t="s">
        <v>50</v>
      </c>
      <c r="E33" s="403">
        <f>SUM(E31:E32)</f>
        <v>583.31567715225276</v>
      </c>
      <c r="F33" s="372" t="s">
        <v>1993</v>
      </c>
      <c r="G33" s="371"/>
    </row>
    <row r="34" spans="1:7" ht="13.8"/>
    <row r="35" spans="1:7" ht="13.8">
      <c r="C35" s="393" t="s">
        <v>188</v>
      </c>
      <c r="E35" s="579">
        <f t="shared" ref="E35" si="12">cbalCommercialProd1Price</f>
        <v>15</v>
      </c>
      <c r="F35" s="629" t="s">
        <v>1994</v>
      </c>
      <c r="G35" s="371"/>
    </row>
    <row r="36" spans="1:7" ht="13.8"/>
    <row r="37" spans="1:7" ht="13.8">
      <c r="C37" s="393" t="s">
        <v>887</v>
      </c>
    </row>
    <row r="38" spans="1:7" ht="13.8">
      <c r="D38" s="629" t="s">
        <v>1765</v>
      </c>
      <c r="E38" s="579">
        <f t="shared" ref="E38" si="13">obalProd1BaseNewCOGS</f>
        <v>3</v>
      </c>
      <c r="G38" s="371"/>
    </row>
    <row r="39" spans="1:7" ht="13.8">
      <c r="D39" s="629" t="s">
        <v>1761</v>
      </c>
      <c r="E39" s="630">
        <f t="shared" ref="E39" si="14">decEGSecurity*paramEGPlatformCOGSPLevel</f>
        <v>0</v>
      </c>
    </row>
    <row r="40" spans="1:7" ht="13.8">
      <c r="D40" s="629" t="s">
        <v>1762</v>
      </c>
      <c r="E40" s="630">
        <f t="shared" ref="E40" si="15">decEGInteroperability*paramEGPlatformCOGSPLevel</f>
        <v>0</v>
      </c>
    </row>
    <row r="41" spans="1:7" ht="13.8">
      <c r="D41" s="629" t="s">
        <v>1763</v>
      </c>
      <c r="E41" s="630">
        <f t="shared" ref="E41" si="16">decEGScalability*paramEGPlatformCOGSPLevel</f>
        <v>0</v>
      </c>
    </row>
    <row r="42" spans="1:7" ht="13.8">
      <c r="D42" s="629" t="str">
        <f>nmProd1Offering1&amp;" Investments"</f>
        <v>Workspace 365 Investments</v>
      </c>
      <c r="E42" s="630">
        <f t="shared" ref="E42" si="17">decEGProd1Offering1*paramEGOfferingCOGSPLevel</f>
        <v>0</v>
      </c>
    </row>
    <row r="43" spans="1:7" ht="13.8">
      <c r="D43" s="629" t="str">
        <f>nmProd1Offering2&amp;" Investments"</f>
        <v>Dynamo 365 Investments</v>
      </c>
      <c r="E43" s="630">
        <f t="shared" ref="E43" si="18">decEGProd1Offering2*paramEGOfferingCOGSPLevel</f>
        <v>0</v>
      </c>
    </row>
    <row r="44" spans="1:7" ht="13.8">
      <c r="D44" s="629" t="s">
        <v>1764</v>
      </c>
      <c r="E44" s="579">
        <f t="shared" ref="E44" si="19">SUM(E38:E43)</f>
        <v>3</v>
      </c>
      <c r="F44" s="629" t="s">
        <v>1995</v>
      </c>
      <c r="G44" s="371"/>
    </row>
    <row r="45" spans="1:7" s="370" customFormat="1" ht="16.8">
      <c r="A45" s="372"/>
      <c r="B45" s="372"/>
      <c r="C45" s="372"/>
      <c r="D45" s="372"/>
      <c r="E45" s="372"/>
      <c r="F45" s="372"/>
      <c r="G45" s="372"/>
    </row>
    <row r="46" spans="1:7" ht="13.8">
      <c r="D46" s="372" t="s">
        <v>886</v>
      </c>
      <c r="E46" s="579">
        <f t="shared" ref="E46" si="20">CalcProd1Seg1BaseCOGSPNewUnit</f>
        <v>3</v>
      </c>
      <c r="G46" s="371"/>
    </row>
    <row r="47" spans="1:7" ht="13.8">
      <c r="D47" s="372" t="s">
        <v>885</v>
      </c>
      <c r="E47" s="630">
        <f t="shared" ref="E47" si="21">CalcProd1Seg1DCExpNew/CalcProd1Seg1NewVolume</f>
        <v>9.5850292197682291E-2</v>
      </c>
    </row>
    <row r="48" spans="1:7" s="399" customFormat="1" ht="2.1" customHeight="1">
      <c r="A48" s="402"/>
      <c r="B48" s="304"/>
      <c r="C48" s="372"/>
      <c r="D48" s="401"/>
      <c r="E48" s="401"/>
      <c r="F48" s="372"/>
      <c r="G48" s="400"/>
    </row>
    <row r="49" spans="1:7" s="370" customFormat="1" ht="16.8">
      <c r="A49" s="372"/>
      <c r="B49" s="372"/>
      <c r="C49" s="372"/>
      <c r="D49" s="372" t="s">
        <v>884</v>
      </c>
      <c r="E49" s="630">
        <f t="shared" ref="E49" si="22">SUM(E46:E47)</f>
        <v>3.0958502921976825</v>
      </c>
      <c r="F49" s="372" t="s">
        <v>1996</v>
      </c>
      <c r="G49" s="372"/>
    </row>
    <row r="50" spans="1:7" s="370" customFormat="1" ht="16.8">
      <c r="A50" s="372"/>
      <c r="B50" s="372"/>
      <c r="C50" s="372"/>
      <c r="D50" s="372"/>
      <c r="E50" s="372"/>
      <c r="F50" s="372"/>
      <c r="G50" s="372"/>
    </row>
    <row r="51" spans="1:7" s="370" customFormat="1" ht="16.8">
      <c r="A51" s="372"/>
      <c r="B51" s="372"/>
      <c r="C51" s="372"/>
      <c r="D51" s="372" t="s">
        <v>883</v>
      </c>
      <c r="E51" s="631">
        <f t="shared" ref="E51" si="23">CalcProd1Seg1NewVolume*CalcProd1Seg1Prod1NewCOGSUnit</f>
        <v>6786816.6909856098</v>
      </c>
      <c r="F51" s="629" t="s">
        <v>1997</v>
      </c>
      <c r="G51" s="372"/>
    </row>
    <row r="52" spans="1:7" ht="13.8"/>
    <row r="53" spans="1:7" ht="13.8">
      <c r="C53" s="393" t="s">
        <v>1654</v>
      </c>
      <c r="E53" s="405"/>
    </row>
    <row r="54" spans="1:7" ht="13.8">
      <c r="D54" s="629" t="s">
        <v>1765</v>
      </c>
      <c r="E54" s="579">
        <f t="shared" ref="E54" si="24">obalProd1BaseRenewalCOGS</f>
        <v>2.7</v>
      </c>
      <c r="G54" s="371"/>
    </row>
    <row r="55" spans="1:7" ht="13.8">
      <c r="D55" s="629" t="s">
        <v>1761</v>
      </c>
      <c r="E55" s="630">
        <f t="shared" ref="E55" si="25">decEGSecurity*paramEGPlatformCOGSPLevel</f>
        <v>0</v>
      </c>
    </row>
    <row r="56" spans="1:7" ht="13.8">
      <c r="D56" s="629" t="s">
        <v>1762</v>
      </c>
      <c r="E56" s="630">
        <f t="shared" ref="E56" si="26">decEGInteroperability*paramEGPlatformCOGSPLevel</f>
        <v>0</v>
      </c>
    </row>
    <row r="57" spans="1:7" ht="13.8">
      <c r="D57" s="629" t="s">
        <v>1763</v>
      </c>
      <c r="E57" s="630">
        <f t="shared" ref="E57" si="27">decEGScalability*paramEGPlatformCOGSPLevel</f>
        <v>0</v>
      </c>
    </row>
    <row r="58" spans="1:7" ht="13.8">
      <c r="D58" s="629" t="str">
        <f>nmProd1Offering1&amp;" Investments"</f>
        <v>Workspace 365 Investments</v>
      </c>
      <c r="E58" s="630">
        <f t="shared" ref="E58" si="28">decEGProd1Offering1*paramEGOfferingCOGSPLevel</f>
        <v>0</v>
      </c>
    </row>
    <row r="59" spans="1:7" ht="13.8">
      <c r="D59" s="629" t="str">
        <f>nmProd1Offering2&amp;" Investments"</f>
        <v>Dynamo 365 Investments</v>
      </c>
      <c r="E59" s="630">
        <f t="shared" ref="E59" si="29">decEGProd1Offering2*paramEGOfferingCOGSPLevel</f>
        <v>0</v>
      </c>
    </row>
    <row r="60" spans="1:7" ht="13.8">
      <c r="D60" s="629" t="s">
        <v>1764</v>
      </c>
      <c r="E60" s="579">
        <f t="shared" ref="E60" si="30">SUM(E54:E59)</f>
        <v>2.7</v>
      </c>
      <c r="F60" s="629" t="s">
        <v>1998</v>
      </c>
      <c r="G60" s="371"/>
    </row>
    <row r="61" spans="1:7" ht="13.8"/>
    <row r="62" spans="1:7" ht="13.8">
      <c r="D62" s="372" t="s">
        <v>881</v>
      </c>
      <c r="E62" s="579">
        <f t="shared" ref="E62" si="31">CalcProd1Seg1BaseCOGSPRenewalUnit</f>
        <v>2.7</v>
      </c>
      <c r="G62" s="371"/>
    </row>
    <row r="63" spans="1:7" ht="13.8">
      <c r="D63" s="372" t="s">
        <v>880</v>
      </c>
      <c r="E63" s="630">
        <f t="shared" ref="E63" si="32">CalcProd1Seg1DCExpRenewal/CalcProd1Seg1RenewalVolume</f>
        <v>6.3900194798454848E-3</v>
      </c>
    </row>
    <row r="64" spans="1:7" s="399" customFormat="1" ht="2.1" customHeight="1">
      <c r="A64" s="402"/>
      <c r="B64" s="304"/>
      <c r="C64" s="372"/>
      <c r="D64" s="401"/>
      <c r="E64" s="401"/>
      <c r="F64" s="372"/>
      <c r="G64" s="400"/>
    </row>
    <row r="65" spans="1:7" s="370" customFormat="1" ht="16.8">
      <c r="A65" s="372"/>
      <c r="B65" s="372"/>
      <c r="C65" s="372"/>
      <c r="D65" s="372" t="s">
        <v>879</v>
      </c>
      <c r="E65" s="630">
        <f t="shared" ref="E65" si="33">SUM(E62:E63)</f>
        <v>2.7063900194798456</v>
      </c>
      <c r="F65" s="629" t="s">
        <v>1999</v>
      </c>
      <c r="G65" s="372"/>
    </row>
    <row r="66" spans="1:7" s="370" customFormat="1" ht="16.8">
      <c r="A66" s="372"/>
      <c r="B66" s="372"/>
      <c r="C66" s="372"/>
      <c r="D66" s="372"/>
      <c r="E66" s="372"/>
      <c r="F66" s="372"/>
      <c r="G66" s="372"/>
    </row>
    <row r="67" spans="1:7" s="370" customFormat="1" ht="16.8">
      <c r="A67" s="372"/>
      <c r="B67" s="372"/>
      <c r="C67" s="372"/>
      <c r="D67" s="372" t="s">
        <v>878</v>
      </c>
      <c r="E67" s="631">
        <f t="shared" ref="E67" si="34">(CalcProd1Seg1RenewalVolume*CalcProd1Seg1CloudRenewalCOGSUnit)</f>
        <v>9853767.1724441331</v>
      </c>
      <c r="F67" s="372" t="s">
        <v>2000</v>
      </c>
      <c r="G67" s="372"/>
    </row>
    <row r="68" spans="1:7" ht="13.8"/>
    <row r="69" spans="1:7" ht="13.8">
      <c r="C69" s="393" t="s">
        <v>1655</v>
      </c>
      <c r="E69" s="405"/>
    </row>
    <row r="70" spans="1:7" ht="13.8">
      <c r="D70" s="372" t="s">
        <v>881</v>
      </c>
      <c r="E70" s="579">
        <f t="shared" ref="E70" si="35">paramProd1COGSPNonCloudUnit</f>
        <v>1.3499999999999999</v>
      </c>
      <c r="G70" s="371"/>
    </row>
    <row r="71" spans="1:7" s="399" customFormat="1" ht="2.1" customHeight="1">
      <c r="A71" s="402"/>
      <c r="B71" s="304"/>
      <c r="C71" s="372"/>
      <c r="D71" s="401"/>
      <c r="E71" s="401"/>
      <c r="F71" s="372"/>
      <c r="G71" s="400"/>
    </row>
    <row r="72" spans="1:7" s="370" customFormat="1" ht="16.8">
      <c r="A72" s="372"/>
      <c r="B72" s="372"/>
      <c r="C72" s="372"/>
      <c r="D72" s="372" t="s">
        <v>879</v>
      </c>
      <c r="E72" s="630">
        <f t="shared" ref="E72" si="36">SUM(E70:E70)</f>
        <v>1.3499999999999999</v>
      </c>
      <c r="F72" s="629" t="s">
        <v>2001</v>
      </c>
      <c r="G72" s="372"/>
    </row>
    <row r="73" spans="1:7" s="370" customFormat="1" ht="16.8">
      <c r="A73" s="372"/>
      <c r="B73" s="372"/>
      <c r="C73" s="372"/>
      <c r="D73" s="372"/>
      <c r="E73" s="372"/>
      <c r="F73" s="372"/>
      <c r="G73" s="372"/>
    </row>
    <row r="74" spans="1:7" s="370" customFormat="1" ht="16.8">
      <c r="A74" s="372"/>
      <c r="B74" s="372"/>
      <c r="C74" s="372"/>
      <c r="D74" s="629" t="s">
        <v>1772</v>
      </c>
      <c r="E74" s="631">
        <f t="shared" ref="E74" si="37">CalcProd1Seg1NonCloudVolume*CalcProd1Seg1NonCloudRenewalCOGSUnit</f>
        <v>3837239.9999999995</v>
      </c>
      <c r="F74" s="372" t="s">
        <v>2002</v>
      </c>
      <c r="G74" s="372"/>
    </row>
    <row r="75" spans="1:7" s="370" customFormat="1" ht="16.8">
      <c r="A75" s="372"/>
      <c r="B75" s="372"/>
      <c r="C75" s="372"/>
      <c r="D75" s="372"/>
      <c r="E75" s="404"/>
      <c r="F75" s="372"/>
      <c r="G75" s="372"/>
    </row>
    <row r="76" spans="1:7" s="370" customFormat="1" ht="16.8">
      <c r="A76" s="372"/>
      <c r="B76" s="372"/>
      <c r="C76" s="393" t="s">
        <v>877</v>
      </c>
      <c r="D76" s="372"/>
      <c r="E76" s="373"/>
      <c r="F76" s="372"/>
      <c r="G76" s="372"/>
    </row>
    <row r="77" spans="1:7" s="370" customFormat="1" ht="16.8">
      <c r="A77" s="372"/>
      <c r="B77" s="372"/>
      <c r="C77" s="372"/>
      <c r="D77" s="372" t="str">
        <f>"From New "&amp;FinDefBookingsName</f>
        <v>From New Bookings</v>
      </c>
      <c r="E77" s="632">
        <f t="shared" ref="E77" si="38">finPNLProd1Seg1NewBookings*FinDefDeferralRate</f>
        <v>16441726.95000002</v>
      </c>
      <c r="F77" s="372"/>
      <c r="G77" s="372"/>
    </row>
    <row r="78" spans="1:7" s="370" customFormat="1" ht="16.8">
      <c r="A78" s="372"/>
      <c r="B78" s="372"/>
      <c r="C78" s="372"/>
      <c r="D78" s="372" t="str">
        <f>"From Renewal "&amp;FinDefBookingsName</f>
        <v>From Renewal Bookings</v>
      </c>
      <c r="E78" s="632">
        <f t="shared" ref="E78" si="39">finPNLProd1Seg1RenewalBookings*FinDefDeferralRate</f>
        <v>27306948.836418938</v>
      </c>
      <c r="F78" s="372"/>
      <c r="G78" s="372"/>
    </row>
    <row r="79" spans="1:7" s="399" customFormat="1" ht="2.1" customHeight="1">
      <c r="A79" s="402"/>
      <c r="B79" s="304"/>
      <c r="C79" s="372"/>
      <c r="D79" s="401"/>
      <c r="E79" s="633"/>
      <c r="F79" s="400"/>
      <c r="G79" s="400"/>
    </row>
    <row r="80" spans="1:7" s="370" customFormat="1" ht="16.8">
      <c r="A80" s="372"/>
      <c r="B80" s="372"/>
      <c r="C80" s="372"/>
      <c r="D80" s="372" t="s">
        <v>876</v>
      </c>
      <c r="E80" s="636">
        <f t="shared" ref="E80" si="40">SUM(E77:E78)</f>
        <v>43748675.786418959</v>
      </c>
      <c r="F80" s="372"/>
      <c r="G80" s="372"/>
    </row>
    <row r="81" spans="1:7" s="370" customFormat="1" ht="16.8">
      <c r="A81" s="372"/>
      <c r="B81" s="372"/>
      <c r="C81" s="372"/>
      <c r="D81" s="372"/>
      <c r="E81" s="372"/>
      <c r="F81" s="372"/>
      <c r="G81" s="372"/>
    </row>
    <row r="82" spans="1:7" s="370" customFormat="1" ht="16.8">
      <c r="A82" s="372"/>
      <c r="B82" s="372"/>
      <c r="C82" s="372"/>
      <c r="D82" s="372" t="s">
        <v>838</v>
      </c>
      <c r="E82" s="637">
        <f t="shared" ref="E82" si="41">IF(FinDefContractLength=1,0,obalProd1Seg1DefRev)</f>
        <v>39578510.513643652</v>
      </c>
      <c r="F82" s="372"/>
      <c r="G82" s="371"/>
    </row>
    <row r="83" spans="1:7" s="370" customFormat="1" ht="16.8">
      <c r="A83" s="372"/>
      <c r="B83" s="372"/>
      <c r="C83" s="372"/>
      <c r="D83" s="372" t="s">
        <v>875</v>
      </c>
      <c r="E83" s="632">
        <f t="shared" ref="E83" si="42">finPNLProd1Seg1RevFromDef*-1</f>
        <v>-39578510.513643652</v>
      </c>
      <c r="F83" s="372"/>
      <c r="G83" s="372"/>
    </row>
    <row r="84" spans="1:7" s="370" customFormat="1" ht="16.8">
      <c r="A84" s="372"/>
      <c r="B84" s="372"/>
      <c r="C84" s="372"/>
      <c r="D84" s="372" t="s">
        <v>874</v>
      </c>
      <c r="E84" s="632">
        <f t="shared" ref="E84" si="43">E80</f>
        <v>43748675.786418959</v>
      </c>
      <c r="F84" s="372"/>
      <c r="G84" s="372"/>
    </row>
    <row r="85" spans="1:7" s="399" customFormat="1" ht="2.1" customHeight="1">
      <c r="A85" s="402"/>
      <c r="B85" s="304"/>
      <c r="C85" s="372"/>
      <c r="D85" s="401"/>
      <c r="E85" s="633"/>
      <c r="F85" s="400"/>
      <c r="G85" s="400"/>
    </row>
    <row r="86" spans="1:7" s="370" customFormat="1" ht="16.8">
      <c r="A86" s="372"/>
      <c r="B86" s="372"/>
      <c r="C86" s="372"/>
      <c r="D86" s="372" t="s">
        <v>873</v>
      </c>
      <c r="E86" s="636">
        <f t="shared" ref="E86" si="44">SUM(E82:E84)</f>
        <v>43748675.786418959</v>
      </c>
      <c r="F86" s="629" t="s">
        <v>2003</v>
      </c>
      <c r="G86" s="371" t="s">
        <v>872</v>
      </c>
    </row>
    <row r="87" spans="1:7" s="370" customFormat="1" ht="16.8">
      <c r="A87" s="372"/>
      <c r="B87" s="372"/>
      <c r="C87" s="372"/>
      <c r="D87" s="372"/>
      <c r="E87" s="372"/>
      <c r="F87" s="372"/>
      <c r="G87" s="371"/>
    </row>
    <row r="88" spans="1:7" s="370" customFormat="1" ht="16.8">
      <c r="A88" s="372"/>
      <c r="B88" s="372"/>
      <c r="C88" s="372"/>
      <c r="D88" s="372"/>
      <c r="E88" s="373"/>
      <c r="F88" s="372"/>
      <c r="G88" s="372"/>
    </row>
    <row r="89" spans="1:7" s="580" customFormat="1" ht="13.8">
      <c r="B89" s="581" t="str">
        <f>nmProd1Seg2</f>
        <v>Productivity &amp; Business SMC</v>
      </c>
      <c r="C89" s="581"/>
      <c r="D89" s="581"/>
      <c r="E89" s="582"/>
    </row>
    <row r="90" spans="1:7" ht="13.8"/>
    <row r="91" spans="1:7" ht="13.8">
      <c r="C91" s="393" t="s">
        <v>216</v>
      </c>
    </row>
    <row r="92" spans="1:7" ht="13.8"/>
    <row r="93" spans="1:7" ht="13.8">
      <c r="D93" s="629" t="s">
        <v>492</v>
      </c>
      <c r="E93" s="928">
        <f t="shared" ref="E93" si="45">obalProd1Seg2NonCloudSubs*calcCloudMigration</f>
        <v>0</v>
      </c>
      <c r="F93" s="629" t="s">
        <v>2241</v>
      </c>
      <c r="G93" s="371"/>
    </row>
    <row r="94" spans="1:7" ht="13.8">
      <c r="D94" s="629" t="s">
        <v>2698</v>
      </c>
      <c r="E94" s="928">
        <f t="shared" ref="E94" si="46">obalProd1Seg2NonCloudSubs*calcCloudMigrationChurnRate</f>
        <v>0</v>
      </c>
      <c r="F94" s="629" t="s">
        <v>2699</v>
      </c>
      <c r="G94" s="371"/>
    </row>
    <row r="95" spans="1:7" ht="13.8"/>
    <row r="96" spans="1:7" ht="13.8">
      <c r="D96" s="372" t="s">
        <v>889</v>
      </c>
      <c r="E96" s="403">
        <f>IF(xxSim0Tool1=1,decCommercialProd1Seg2Share*INDEX(mmSubProd1Seg2NewTAM,xxRound+1)+CalcProd1Seg2CloudMigrationSubs,mmSubProd1Seg2NewSubs+E93:E93)</f>
        <v>1522914.0300000003</v>
      </c>
      <c r="F96" s="372" t="s">
        <v>2004</v>
      </c>
      <c r="G96" s="371"/>
    </row>
    <row r="97" spans="3:7" ht="13.8">
      <c r="D97" s="372" t="s">
        <v>888</v>
      </c>
      <c r="E97" s="403">
        <f t="shared" ref="E97" si="47">IF(xxSim0Tool1=1,obalProd1Seg2TotalSubs*calcRenRateProd1Seg2RenewalRateEnd,mmSubProd1Seg2RenewedSubs)</f>
        <v>2213324.5120548611</v>
      </c>
      <c r="F97" s="372" t="s">
        <v>2005</v>
      </c>
      <c r="G97" s="371"/>
    </row>
    <row r="98" spans="3:7" ht="13.8">
      <c r="D98" s="372" t="s">
        <v>1647</v>
      </c>
      <c r="E98" s="403">
        <f t="shared" ref="E98" si="48">obalProd1Seg2NonCloudSubs-CalcProd1Seg2CloudMigrationSubs-CalcProd1Seg2CloudMigrationChurnSubs</f>
        <v>1776500.0000000002</v>
      </c>
      <c r="F98" s="629" t="s">
        <v>2006</v>
      </c>
      <c r="G98" s="371"/>
    </row>
    <row r="99" spans="3:7" ht="13.8">
      <c r="D99" s="629" t="s">
        <v>50</v>
      </c>
      <c r="E99" s="397">
        <f>SUM(E96:E98)</f>
        <v>5512738.5420548618</v>
      </c>
      <c r="F99" s="629" t="s">
        <v>2007</v>
      </c>
      <c r="G99" s="371"/>
    </row>
    <row r="100" spans="3:7" ht="13.8">
      <c r="E100" s="702"/>
    </row>
    <row r="101" spans="3:7" ht="13.8">
      <c r="D101" s="629" t="s">
        <v>399</v>
      </c>
      <c r="E101" s="701">
        <f t="shared" ref="E101" si="49">(CalcProd1Seg2NewVolume+CalcProd1Seg2RenewalVolume)/CalcProd1Seg2TotalVolume</f>
        <v>0.67774637116422831</v>
      </c>
      <c r="F101" s="629" t="s">
        <v>2008</v>
      </c>
    </row>
    <row r="102" spans="3:7" ht="13.8"/>
    <row r="103" spans="3:7" ht="13.8">
      <c r="C103" s="393" t="s">
        <v>1597</v>
      </c>
    </row>
    <row r="104" spans="3:7" ht="13.8">
      <c r="D104" s="372" t="s">
        <v>889</v>
      </c>
      <c r="E104" s="403">
        <f t="shared" ref="E104" si="50">CalcProd1Seg2NewVolume/paramSeg2SubsPCustomer</f>
        <v>1522.9140300000004</v>
      </c>
      <c r="F104" s="372" t="s">
        <v>2009</v>
      </c>
      <c r="G104" s="371"/>
    </row>
    <row r="105" spans="3:7" ht="13.8">
      <c r="D105" s="372" t="s">
        <v>888</v>
      </c>
      <c r="E105" s="403">
        <f t="shared" ref="E105" si="51">CalcProd1Seg2RenewalVolume/paramSeg2SubsPCustomer</f>
        <v>2213.3245120548609</v>
      </c>
      <c r="F105" s="372" t="s">
        <v>2010</v>
      </c>
      <c r="G105" s="371"/>
    </row>
    <row r="106" spans="3:7" ht="13.8">
      <c r="D106" s="629" t="s">
        <v>50</v>
      </c>
      <c r="E106" s="403">
        <f t="shared" ref="E106" si="52">SUM(E104:E105)</f>
        <v>3736.2385420548612</v>
      </c>
      <c r="F106" s="372" t="s">
        <v>2011</v>
      </c>
      <c r="G106" s="371"/>
    </row>
    <row r="107" spans="3:7" ht="13.8"/>
    <row r="108" spans="3:7" ht="13.8">
      <c r="C108" s="393" t="s">
        <v>188</v>
      </c>
      <c r="E108" s="579">
        <f t="shared" ref="E108" si="53">cbalCommercialProd1Price</f>
        <v>15</v>
      </c>
      <c r="F108" s="629" t="s">
        <v>2012</v>
      </c>
      <c r="G108" s="371"/>
    </row>
    <row r="109" spans="3:7" ht="13.8"/>
    <row r="110" spans="3:7" ht="13.8">
      <c r="C110" s="393" t="s">
        <v>887</v>
      </c>
    </row>
    <row r="111" spans="3:7" ht="13.8">
      <c r="D111" s="629" t="s">
        <v>1765</v>
      </c>
      <c r="E111" s="579">
        <f t="shared" ref="E111" si="54">obalProd1BaseNewCOGS</f>
        <v>3</v>
      </c>
      <c r="G111" s="371"/>
    </row>
    <row r="112" spans="3:7" ht="13.8">
      <c r="D112" s="629" t="s">
        <v>1761</v>
      </c>
      <c r="E112" s="630">
        <f t="shared" ref="E112" si="55">decEGSecurity*paramEGPlatformCOGSPLevel</f>
        <v>0</v>
      </c>
    </row>
    <row r="113" spans="1:7" ht="13.8">
      <c r="D113" s="629" t="s">
        <v>1762</v>
      </c>
      <c r="E113" s="630">
        <f t="shared" ref="E113" si="56">decEGInteroperability*paramEGPlatformCOGSPLevel</f>
        <v>0</v>
      </c>
    </row>
    <row r="114" spans="1:7" ht="13.8">
      <c r="D114" s="629" t="s">
        <v>1763</v>
      </c>
      <c r="E114" s="630">
        <f t="shared" ref="E114" si="57">decEGScalability*paramEGPlatformCOGSPLevel</f>
        <v>0</v>
      </c>
    </row>
    <row r="115" spans="1:7" ht="13.8">
      <c r="D115" s="629" t="str">
        <f>nmProd1Offering1&amp;" Investments"</f>
        <v>Workspace 365 Investments</v>
      </c>
      <c r="E115" s="630">
        <f t="shared" ref="E115" si="58">decEGProd1Offering1*paramEGOfferingCOGSPLevel</f>
        <v>0</v>
      </c>
    </row>
    <row r="116" spans="1:7" ht="13.8">
      <c r="D116" s="629" t="str">
        <f>nmProd1Offering2&amp;" Investments"</f>
        <v>Dynamo 365 Investments</v>
      </c>
      <c r="E116" s="630">
        <f t="shared" ref="E116" si="59">decEGProd1Offering2*paramEGOfferingCOGSPLevel</f>
        <v>0</v>
      </c>
    </row>
    <row r="117" spans="1:7" ht="13.8">
      <c r="D117" s="629" t="s">
        <v>1764</v>
      </c>
      <c r="E117" s="579">
        <f t="shared" ref="E117" si="60">SUM(E111:E116)</f>
        <v>3</v>
      </c>
      <c r="F117" s="629" t="s">
        <v>2013</v>
      </c>
      <c r="G117" s="371"/>
    </row>
    <row r="118" spans="1:7" ht="13.8"/>
    <row r="119" spans="1:7" ht="13.8">
      <c r="D119" s="372" t="s">
        <v>886</v>
      </c>
      <c r="E119" s="579">
        <f t="shared" ref="E119" si="61">CalcProd1Seg2BaseCOGSPNewUnit</f>
        <v>3</v>
      </c>
      <c r="G119" s="371"/>
    </row>
    <row r="120" spans="1:7" ht="13.8">
      <c r="D120" s="372" t="s">
        <v>885</v>
      </c>
      <c r="E120" s="630">
        <f t="shared" ref="E120" si="62">CalcProd1Seg2DCExpNew/CalcProd1Seg2NewVolume</f>
        <v>9.5850292197682277E-2</v>
      </c>
    </row>
    <row r="121" spans="1:7" s="399" customFormat="1" ht="2.1" customHeight="1">
      <c r="A121" s="402"/>
      <c r="B121" s="304"/>
      <c r="C121" s="372"/>
      <c r="D121" s="401"/>
      <c r="E121" s="401"/>
      <c r="F121" s="372"/>
      <c r="G121" s="400"/>
    </row>
    <row r="122" spans="1:7" s="370" customFormat="1" ht="16.8">
      <c r="A122" s="372"/>
      <c r="B122" s="372"/>
      <c r="C122" s="372"/>
      <c r="D122" s="372" t="s">
        <v>884</v>
      </c>
      <c r="E122" s="630">
        <f t="shared" ref="E122" si="63">SUM(E119:E120)</f>
        <v>3.0958502921976825</v>
      </c>
      <c r="F122" s="372" t="s">
        <v>2014</v>
      </c>
      <c r="G122" s="372"/>
    </row>
    <row r="123" spans="1:7" s="370" customFormat="1" ht="16.8">
      <c r="A123" s="372"/>
      <c r="B123" s="372"/>
      <c r="C123" s="372"/>
      <c r="D123" s="372"/>
      <c r="E123" s="372"/>
      <c r="F123" s="372"/>
      <c r="G123" s="372"/>
    </row>
    <row r="124" spans="1:7" s="370" customFormat="1" ht="16.8">
      <c r="A124" s="372"/>
      <c r="B124" s="372"/>
      <c r="C124" s="372"/>
      <c r="D124" s="372" t="s">
        <v>883</v>
      </c>
      <c r="E124" s="631">
        <f t="shared" ref="E124" si="64">CalcProd1Seg2NewVolume*CalcProd1Seg2Prod1NewCOGSUnit</f>
        <v>4714713.8447674513</v>
      </c>
      <c r="F124" s="629" t="s">
        <v>2015</v>
      </c>
      <c r="G124" s="372"/>
    </row>
    <row r="125" spans="1:7" ht="13.8"/>
    <row r="126" spans="1:7" ht="13.8">
      <c r="C126" s="393" t="s">
        <v>1654</v>
      </c>
      <c r="E126" s="405"/>
    </row>
    <row r="127" spans="1:7" ht="13.8">
      <c r="D127" s="629" t="s">
        <v>1765</v>
      </c>
      <c r="E127" s="579">
        <f t="shared" ref="E127" si="65">obalProd1BaseRenewalCOGS</f>
        <v>2.7</v>
      </c>
      <c r="G127" s="371"/>
    </row>
    <row r="128" spans="1:7" ht="13.8">
      <c r="D128" s="629" t="s">
        <v>1761</v>
      </c>
      <c r="E128" s="630">
        <f t="shared" ref="E128" si="66">decEGSecurity*paramEGPlatformCOGSPLevel</f>
        <v>0</v>
      </c>
    </row>
    <row r="129" spans="1:7" ht="13.8">
      <c r="D129" s="629" t="s">
        <v>1762</v>
      </c>
      <c r="E129" s="630">
        <f t="shared" ref="E129" si="67">decEGInteroperability*paramEGPlatformCOGSPLevel</f>
        <v>0</v>
      </c>
    </row>
    <row r="130" spans="1:7" ht="13.8">
      <c r="D130" s="629" t="s">
        <v>1763</v>
      </c>
      <c r="E130" s="630">
        <f t="shared" ref="E130" si="68">decEGScalability*paramEGPlatformCOGSPLevel</f>
        <v>0</v>
      </c>
    </row>
    <row r="131" spans="1:7" ht="13.8">
      <c r="D131" s="629" t="str">
        <f>nmProd1Offering1&amp;" Investments"</f>
        <v>Workspace 365 Investments</v>
      </c>
      <c r="E131" s="630">
        <f t="shared" ref="E131" si="69">decEGProd1Offering1*paramEGOfferingCOGSPLevel</f>
        <v>0</v>
      </c>
    </row>
    <row r="132" spans="1:7" ht="13.8">
      <c r="D132" s="629" t="str">
        <f>nmProd1Offering2&amp;" Investments"</f>
        <v>Dynamo 365 Investments</v>
      </c>
      <c r="E132" s="630">
        <f t="shared" ref="E132" si="70">decEGProd1Offering2*paramEGOfferingCOGSPLevel</f>
        <v>0</v>
      </c>
    </row>
    <row r="133" spans="1:7" ht="13.8">
      <c r="D133" s="629" t="s">
        <v>1764</v>
      </c>
      <c r="E133" s="579">
        <f t="shared" ref="E133" si="71">SUM(E127:E132)</f>
        <v>2.7</v>
      </c>
      <c r="F133" s="629" t="s">
        <v>2016</v>
      </c>
      <c r="G133" s="371"/>
    </row>
    <row r="134" spans="1:7" ht="13.8"/>
    <row r="135" spans="1:7" ht="13.8">
      <c r="D135" s="372" t="s">
        <v>881</v>
      </c>
      <c r="E135" s="579">
        <f t="shared" ref="E135" si="72">CalcProd1Seg2BaseCOGSPRenewalUnit</f>
        <v>2.7</v>
      </c>
      <c r="G135" s="371"/>
    </row>
    <row r="136" spans="1:7" ht="13.8">
      <c r="D136" s="372" t="s">
        <v>880</v>
      </c>
      <c r="E136" s="630">
        <f t="shared" ref="E136" si="73">CalcProd1Seg2DCExpRenewal/CalcProd1Seg2RenewalVolume</f>
        <v>6.3900194798454839E-3</v>
      </c>
    </row>
    <row r="137" spans="1:7" s="399" customFormat="1" ht="2.1" customHeight="1">
      <c r="A137" s="402"/>
      <c r="B137" s="304"/>
      <c r="C137" s="372"/>
      <c r="D137" s="401"/>
      <c r="E137" s="401"/>
      <c r="F137" s="372"/>
      <c r="G137" s="400"/>
    </row>
    <row r="138" spans="1:7" s="370" customFormat="1" ht="16.8">
      <c r="A138" s="372"/>
      <c r="B138" s="372"/>
      <c r="C138" s="372"/>
      <c r="D138" s="372" t="s">
        <v>879</v>
      </c>
      <c r="E138" s="630">
        <f t="shared" ref="E138" si="74">SUM(E135:E136)</f>
        <v>2.7063900194798456</v>
      </c>
      <c r="F138" s="629" t="s">
        <v>2017</v>
      </c>
      <c r="G138" s="372"/>
    </row>
    <row r="139" spans="1:7" s="370" customFormat="1" ht="16.8">
      <c r="A139" s="372"/>
      <c r="B139" s="372"/>
      <c r="C139" s="372"/>
      <c r="D139" s="372"/>
      <c r="E139" s="372"/>
      <c r="F139" s="372"/>
      <c r="G139" s="372"/>
    </row>
    <row r="140" spans="1:7" s="370" customFormat="1" ht="16.8">
      <c r="A140" s="372"/>
      <c r="B140" s="372"/>
      <c r="C140" s="372"/>
      <c r="D140" s="372" t="s">
        <v>878</v>
      </c>
      <c r="E140" s="631">
        <f t="shared" ref="E140" si="75">(CalcProd1Seg2RenewalVolume*CalcProd1Seg2CloudRenewalCOGSUnit)</f>
        <v>5990119.3692953754</v>
      </c>
      <c r="F140" s="372" t="s">
        <v>2018</v>
      </c>
      <c r="G140" s="372"/>
    </row>
    <row r="141" spans="1:7" ht="13.8"/>
    <row r="142" spans="1:7" ht="13.8">
      <c r="C142" s="393" t="s">
        <v>1655</v>
      </c>
      <c r="E142" s="405"/>
    </row>
    <row r="143" spans="1:7" ht="13.8">
      <c r="D143" s="372" t="s">
        <v>881</v>
      </c>
      <c r="E143" s="579">
        <f t="shared" ref="E143" si="76">paramProd1COGSPNonCloudUnit</f>
        <v>1.3499999999999999</v>
      </c>
      <c r="G143" s="371"/>
    </row>
    <row r="144" spans="1:7" s="399" customFormat="1" ht="2.1" customHeight="1">
      <c r="A144" s="402"/>
      <c r="B144" s="304"/>
      <c r="C144" s="372"/>
      <c r="D144" s="401"/>
      <c r="E144" s="401"/>
      <c r="F144" s="372"/>
      <c r="G144" s="400"/>
    </row>
    <row r="145" spans="1:7" s="370" customFormat="1" ht="16.8">
      <c r="A145" s="372"/>
      <c r="B145" s="372"/>
      <c r="C145" s="372"/>
      <c r="D145" s="372" t="s">
        <v>879</v>
      </c>
      <c r="E145" s="630">
        <f t="shared" ref="E145" si="77">SUM(E143:E143)</f>
        <v>1.3499999999999999</v>
      </c>
      <c r="F145" s="629" t="s">
        <v>2019</v>
      </c>
      <c r="G145" s="372"/>
    </row>
    <row r="146" spans="1:7" s="370" customFormat="1" ht="16.8">
      <c r="A146" s="372"/>
      <c r="B146" s="372"/>
      <c r="C146" s="372"/>
      <c r="D146" s="372"/>
      <c r="E146" s="372"/>
      <c r="F146" s="372"/>
      <c r="G146" s="372"/>
    </row>
    <row r="147" spans="1:7" s="370" customFormat="1" ht="16.8">
      <c r="A147" s="372"/>
      <c r="B147" s="372"/>
      <c r="C147" s="372"/>
      <c r="D147" s="629" t="s">
        <v>1772</v>
      </c>
      <c r="E147" s="631">
        <f t="shared" ref="E147" si="78">CalcProd1Seg2NonCloudVolume*CalcProd1Seg2NonCloudRenewalCOGSUnit</f>
        <v>2398275</v>
      </c>
      <c r="F147" s="372" t="s">
        <v>2020</v>
      </c>
      <c r="G147" s="372"/>
    </row>
    <row r="148" spans="1:7" s="370" customFormat="1" ht="16.8">
      <c r="A148" s="372"/>
      <c r="B148" s="372"/>
      <c r="C148" s="372"/>
      <c r="D148" s="372"/>
      <c r="E148" s="404"/>
      <c r="F148" s="372"/>
      <c r="G148" s="372"/>
    </row>
    <row r="149" spans="1:7" s="370" customFormat="1" ht="16.8">
      <c r="A149" s="372"/>
      <c r="B149" s="372"/>
      <c r="C149" s="393" t="s">
        <v>877</v>
      </c>
      <c r="D149" s="372"/>
      <c r="E149" s="373"/>
      <c r="F149" s="372"/>
      <c r="G149" s="372"/>
    </row>
    <row r="150" spans="1:7" s="370" customFormat="1" ht="16.8">
      <c r="A150" s="372"/>
      <c r="B150" s="372"/>
      <c r="C150" s="372"/>
      <c r="D150" s="372" t="str">
        <f>"From New "&amp;FinDefBookingsName</f>
        <v>From New Bookings</v>
      </c>
      <c r="E150" s="632">
        <f t="shared" ref="E150" si="79">finPNLProd1Seg2NewBookings*FinDefDeferralRate</f>
        <v>11421855.225000001</v>
      </c>
      <c r="F150" s="372"/>
      <c r="G150" s="372"/>
    </row>
    <row r="151" spans="1:7" s="370" customFormat="1" ht="16.8">
      <c r="A151" s="372"/>
      <c r="B151" s="372"/>
      <c r="C151" s="372"/>
      <c r="D151" s="372" t="str">
        <f>"From Renewal "&amp;FinDefBookingsName</f>
        <v>From Renewal Bookings</v>
      </c>
      <c r="E151" s="632">
        <f t="shared" ref="E151" si="80">finPNLProd1Seg2RenewalBookings*FinDefDeferralRate</f>
        <v>16599933.840411458</v>
      </c>
      <c r="F151" s="372"/>
      <c r="G151" s="372"/>
    </row>
    <row r="152" spans="1:7" s="399" customFormat="1" ht="2.1" customHeight="1">
      <c r="A152" s="402"/>
      <c r="B152" s="304"/>
      <c r="C152" s="372"/>
      <c r="D152" s="401"/>
      <c r="E152" s="633"/>
      <c r="F152" s="400"/>
      <c r="G152" s="400"/>
    </row>
    <row r="153" spans="1:7" s="370" customFormat="1" ht="16.8">
      <c r="A153" s="372"/>
      <c r="B153" s="372"/>
      <c r="C153" s="372"/>
      <c r="D153" s="372" t="s">
        <v>876</v>
      </c>
      <c r="E153" s="636">
        <f t="shared" ref="E153" si="81">SUM(E150:E151)</f>
        <v>28021789.06541146</v>
      </c>
      <c r="F153" s="372"/>
      <c r="G153" s="372"/>
    </row>
    <row r="154" spans="1:7" s="370" customFormat="1" ht="16.8">
      <c r="A154" s="372"/>
      <c r="B154" s="372"/>
      <c r="C154" s="372"/>
      <c r="D154" s="372"/>
      <c r="E154" s="372"/>
      <c r="F154" s="372"/>
      <c r="G154" s="372"/>
    </row>
    <row r="155" spans="1:7" s="370" customFormat="1" ht="16.8">
      <c r="A155" s="372"/>
      <c r="B155" s="372"/>
      <c r="C155" s="372"/>
      <c r="D155" s="372" t="s">
        <v>838</v>
      </c>
      <c r="E155" s="637">
        <f t="shared" ref="E155" si="82">IF(FinDefContractLength=1,0,obalProd1Seg2DefRev)</f>
        <v>24059833.99918633</v>
      </c>
      <c r="F155" s="372"/>
      <c r="G155" s="371"/>
    </row>
    <row r="156" spans="1:7" s="370" customFormat="1" ht="16.8">
      <c r="A156" s="372"/>
      <c r="B156" s="372"/>
      <c r="C156" s="372"/>
      <c r="D156" s="372" t="s">
        <v>875</v>
      </c>
      <c r="E156" s="632">
        <f t="shared" ref="E156" si="83">finPNLProd1Seg2RevFromDef*-1</f>
        <v>-24059833.99918633</v>
      </c>
      <c r="F156" s="372"/>
      <c r="G156" s="372"/>
    </row>
    <row r="157" spans="1:7" s="370" customFormat="1" ht="16.8">
      <c r="A157" s="372"/>
      <c r="B157" s="372"/>
      <c r="C157" s="372"/>
      <c r="D157" s="372" t="s">
        <v>874</v>
      </c>
      <c r="E157" s="632">
        <f t="shared" ref="E157" si="84">E153</f>
        <v>28021789.06541146</v>
      </c>
      <c r="F157" s="372"/>
      <c r="G157" s="372"/>
    </row>
    <row r="158" spans="1:7" s="399" customFormat="1" ht="2.1" customHeight="1">
      <c r="A158" s="402"/>
      <c r="B158" s="304"/>
      <c r="C158" s="372"/>
      <c r="D158" s="401"/>
      <c r="E158" s="633"/>
      <c r="F158" s="400"/>
      <c r="G158" s="400"/>
    </row>
    <row r="159" spans="1:7" s="370" customFormat="1" ht="16.8">
      <c r="A159" s="372"/>
      <c r="B159" s="372"/>
      <c r="C159" s="372"/>
      <c r="D159" s="372" t="s">
        <v>873</v>
      </c>
      <c r="E159" s="636">
        <f t="shared" ref="E159" si="85">SUM(E155:E157)</f>
        <v>28021789.06541146</v>
      </c>
      <c r="F159" s="629" t="s">
        <v>2021</v>
      </c>
      <c r="G159" s="371" t="s">
        <v>872</v>
      </c>
    </row>
    <row r="160" spans="1:7" s="370" customFormat="1" ht="16.8">
      <c r="A160" s="372"/>
      <c r="B160" s="372"/>
      <c r="C160" s="372"/>
      <c r="D160" s="372"/>
      <c r="E160" s="372"/>
      <c r="F160" s="372"/>
      <c r="G160" s="371"/>
    </row>
    <row r="161" spans="1:7" s="370" customFormat="1" ht="16.8">
      <c r="A161" s="372"/>
      <c r="B161" s="372"/>
      <c r="C161" s="372"/>
      <c r="D161" s="372"/>
      <c r="E161" s="373"/>
      <c r="F161" s="372"/>
      <c r="G161" s="372"/>
    </row>
    <row r="162" spans="1:7" s="580" customFormat="1" ht="13.8">
      <c r="B162" s="581" t="str">
        <f>nmProd1Seg3</f>
        <v>Productivity &amp; Business Consumer</v>
      </c>
      <c r="C162" s="581"/>
      <c r="D162" s="581"/>
      <c r="E162" s="582"/>
    </row>
    <row r="163" spans="1:7" ht="13.8"/>
    <row r="164" spans="1:7" ht="13.8">
      <c r="C164" s="393" t="s">
        <v>216</v>
      </c>
    </row>
    <row r="165" spans="1:7" ht="13.8"/>
    <row r="166" spans="1:7" ht="13.8">
      <c r="D166" s="629" t="s">
        <v>492</v>
      </c>
      <c r="E166" s="403">
        <f t="shared" ref="E166" si="86">(obalProd1Seg3NonCloudSubs*decCommercialCloudMigration)</f>
        <v>0</v>
      </c>
      <c r="F166" s="629" t="s">
        <v>2242</v>
      </c>
      <c r="G166" s="371"/>
    </row>
    <row r="167" spans="1:7" ht="13.8"/>
    <row r="168" spans="1:7" ht="13.8">
      <c r="D168" s="372" t="s">
        <v>889</v>
      </c>
      <c r="E168" s="403">
        <f>IF(xxSim0Tool1=1,decConsumerProd1Seg3Share*INDEX(mmSubProd1Seg3NewTAM,xxRound+1)+CalcProd1Seg3CloudMigrationSubs,mmSubProd1Seg3NewSubs+E165:E165)</f>
        <v>1286257.8960000013</v>
      </c>
      <c r="F168" s="372" t="s">
        <v>2022</v>
      </c>
      <c r="G168" s="371"/>
    </row>
    <row r="169" spans="1:7" ht="13.8">
      <c r="D169" s="372" t="s">
        <v>888</v>
      </c>
      <c r="E169" s="403">
        <f t="shared" ref="E169" si="87">IF(xxSim0Tool1=1,obalProd1Seg3TotalSubs*calcRenRateProd1Seg3RenewalRateEnd,mmSubProd1Seg3RenewedSubs)</f>
        <v>5889280.0498231072</v>
      </c>
      <c r="F169" s="372" t="s">
        <v>2023</v>
      </c>
      <c r="G169" s="371"/>
    </row>
    <row r="170" spans="1:7" ht="13.8">
      <c r="D170" s="372" t="s">
        <v>1647</v>
      </c>
      <c r="E170" s="403">
        <f t="shared" ref="E170" si="88">obalProd1Seg3NonCloudSubs-CalcProd1Seg3CloudMigrationSubs</f>
        <v>0</v>
      </c>
      <c r="F170" s="629" t="s">
        <v>2024</v>
      </c>
      <c r="G170" s="371"/>
    </row>
    <row r="171" spans="1:7" ht="13.8">
      <c r="D171" s="629" t="s">
        <v>50</v>
      </c>
      <c r="E171" s="397">
        <f>SUM(E168:E170)</f>
        <v>7175537.9458231088</v>
      </c>
      <c r="F171" s="629" t="s">
        <v>2025</v>
      </c>
      <c r="G171" s="371"/>
    </row>
    <row r="172" spans="1:7" ht="13.8"/>
    <row r="173" spans="1:7" ht="13.8">
      <c r="D173" s="629" t="s">
        <v>399</v>
      </c>
      <c r="E173" s="701">
        <f t="shared" ref="E173" si="89">(CalcProd1Seg3NewVolume+CalcProd1Seg3RenewalVolume)/CalcProd1Seg3TotalVolume</f>
        <v>1</v>
      </c>
      <c r="F173" s="629" t="s">
        <v>2026</v>
      </c>
    </row>
    <row r="174" spans="1:7" ht="13.8"/>
    <row r="175" spans="1:7" ht="13.8">
      <c r="C175" s="393" t="s">
        <v>188</v>
      </c>
      <c r="E175" s="579">
        <f t="shared" ref="E175" si="90">cbalConsumerProd1Price</f>
        <v>15</v>
      </c>
      <c r="F175" s="629" t="s">
        <v>2027</v>
      </c>
      <c r="G175" s="371"/>
    </row>
    <row r="176" spans="1:7" s="370" customFormat="1" ht="16.8">
      <c r="A176" s="372"/>
      <c r="B176" s="372"/>
      <c r="C176" s="372"/>
      <c r="D176" s="372"/>
      <c r="E176" s="404"/>
      <c r="F176" s="372"/>
      <c r="G176" s="372"/>
    </row>
    <row r="177" spans="1:7" ht="13.8">
      <c r="C177" s="393" t="s">
        <v>887</v>
      </c>
    </row>
    <row r="178" spans="1:7" ht="13.8">
      <c r="D178" s="629" t="s">
        <v>1765</v>
      </c>
      <c r="E178" s="579">
        <f t="shared" ref="E178" si="91">obalProd1BaseNewCOGS</f>
        <v>3</v>
      </c>
      <c r="G178" s="371"/>
    </row>
    <row r="179" spans="1:7" ht="13.8">
      <c r="D179" s="629" t="s">
        <v>1761</v>
      </c>
      <c r="E179" s="630">
        <f t="shared" ref="E179" si="92">decEGSecurity*paramEGPlatformCOGSPLevel</f>
        <v>0</v>
      </c>
    </row>
    <row r="180" spans="1:7" ht="13.8">
      <c r="D180" s="629" t="s">
        <v>1762</v>
      </c>
      <c r="E180" s="630">
        <f t="shared" ref="E180" si="93">decEGInteroperability*paramEGPlatformCOGSPLevel</f>
        <v>0</v>
      </c>
    </row>
    <row r="181" spans="1:7" ht="13.8">
      <c r="D181" s="629" t="s">
        <v>1763</v>
      </c>
      <c r="E181" s="630">
        <f t="shared" ref="E181" si="94">decEGScalability*paramEGPlatformCOGSPLevel</f>
        <v>0</v>
      </c>
    </row>
    <row r="182" spans="1:7" ht="13.8">
      <c r="D182" s="629" t="str">
        <f>nmProd1Offering1&amp;" Investments"</f>
        <v>Workspace 365 Investments</v>
      </c>
      <c r="E182" s="630">
        <f t="shared" ref="E182" si="95">decEGProd1Offering1*paramEGOfferingCOGSPLevel</f>
        <v>0</v>
      </c>
    </row>
    <row r="183" spans="1:7" ht="13.8">
      <c r="D183" s="629" t="str">
        <f>nmProd1Offering2&amp;" Investments"</f>
        <v>Dynamo 365 Investments</v>
      </c>
      <c r="E183" s="630">
        <f t="shared" ref="E183" si="96">decEGProd1Offering2*paramEGOfferingCOGSPLevel</f>
        <v>0</v>
      </c>
    </row>
    <row r="184" spans="1:7" ht="13.8">
      <c r="D184" s="629" t="s">
        <v>1764</v>
      </c>
      <c r="E184" s="579">
        <f t="shared" ref="E184" si="97">SUM(E178:E183)</f>
        <v>3</v>
      </c>
      <c r="F184" s="629" t="s">
        <v>2028</v>
      </c>
      <c r="G184" s="371"/>
    </row>
    <row r="185" spans="1:7" ht="13.8"/>
    <row r="186" spans="1:7" ht="13.8">
      <c r="D186" s="372" t="s">
        <v>886</v>
      </c>
      <c r="E186" s="579">
        <f t="shared" ref="E186" si="98">CalcProd1Seg3BaseCOGSPNewUnit</f>
        <v>3</v>
      </c>
      <c r="G186" s="371"/>
    </row>
    <row r="187" spans="1:7" ht="13.8">
      <c r="D187" s="372" t="s">
        <v>885</v>
      </c>
      <c r="E187" s="630">
        <f t="shared" ref="E187" si="99">CalcProd1Seg3DCExpNew/CalcProd1Seg3NewVolume</f>
        <v>9.5850292197682263E-2</v>
      </c>
    </row>
    <row r="188" spans="1:7" s="399" customFormat="1" ht="2.1" customHeight="1">
      <c r="A188" s="402"/>
      <c r="B188" s="304"/>
      <c r="C188" s="372"/>
      <c r="D188" s="401"/>
      <c r="E188" s="401"/>
      <c r="F188" s="372"/>
      <c r="G188" s="400"/>
    </row>
    <row r="189" spans="1:7" s="370" customFormat="1" ht="16.8">
      <c r="A189" s="372"/>
      <c r="B189" s="372"/>
      <c r="C189" s="372"/>
      <c r="D189" s="372" t="s">
        <v>884</v>
      </c>
      <c r="E189" s="630">
        <f t="shared" ref="E189" si="100">SUM(E186:E187)</f>
        <v>3.0958502921976825</v>
      </c>
      <c r="F189" s="372" t="s">
        <v>2029</v>
      </c>
      <c r="G189" s="372"/>
    </row>
    <row r="190" spans="1:7" s="370" customFormat="1" ht="16.8">
      <c r="A190" s="372"/>
      <c r="B190" s="372"/>
      <c r="C190" s="372"/>
      <c r="D190" s="372"/>
      <c r="E190" s="372"/>
      <c r="F190" s="372"/>
      <c r="G190" s="372"/>
    </row>
    <row r="191" spans="1:7" s="370" customFormat="1" ht="16.8">
      <c r="A191" s="372"/>
      <c r="B191" s="372"/>
      <c r="C191" s="372"/>
      <c r="D191" s="372" t="s">
        <v>883</v>
      </c>
      <c r="E191" s="631">
        <f t="shared" ref="E191" si="101">CalcProd1Seg3NewVolume*CalcProd1Seg3Prod1NewCOGSUnit</f>
        <v>3982061.8831731803</v>
      </c>
      <c r="F191" s="629" t="s">
        <v>2030</v>
      </c>
      <c r="G191" s="372"/>
    </row>
    <row r="192" spans="1:7" ht="13.8"/>
    <row r="193" spans="1:7" ht="13.8">
      <c r="C193" s="393" t="s">
        <v>1654</v>
      </c>
      <c r="E193" s="405"/>
    </row>
    <row r="194" spans="1:7" ht="13.8">
      <c r="D194" s="629" t="s">
        <v>1765</v>
      </c>
      <c r="E194" s="579">
        <f t="shared" ref="E194" si="102">obalProd1BaseRenewalCOGS</f>
        <v>2.7</v>
      </c>
      <c r="G194" s="371"/>
    </row>
    <row r="195" spans="1:7" ht="13.8">
      <c r="D195" s="629" t="s">
        <v>1761</v>
      </c>
      <c r="E195" s="630">
        <f t="shared" ref="E195" si="103">decEGSecurity*paramEGPlatformCOGSPLevel</f>
        <v>0</v>
      </c>
    </row>
    <row r="196" spans="1:7" ht="13.8">
      <c r="D196" s="629" t="s">
        <v>1762</v>
      </c>
      <c r="E196" s="630">
        <f t="shared" ref="E196" si="104">decEGInteroperability*paramEGPlatformCOGSPLevel</f>
        <v>0</v>
      </c>
    </row>
    <row r="197" spans="1:7" ht="13.8">
      <c r="D197" s="629" t="s">
        <v>1763</v>
      </c>
      <c r="E197" s="630">
        <f t="shared" ref="E197" si="105">decEGScalability*paramEGPlatformCOGSPLevel</f>
        <v>0</v>
      </c>
    </row>
    <row r="198" spans="1:7" ht="13.8">
      <c r="D198" s="629" t="str">
        <f>nmProd1Offering1&amp;" Investments"</f>
        <v>Workspace 365 Investments</v>
      </c>
      <c r="E198" s="630">
        <f t="shared" ref="E198" si="106">decEGProd1Offering1*paramEGOfferingCOGSPLevel</f>
        <v>0</v>
      </c>
    </row>
    <row r="199" spans="1:7" ht="13.8">
      <c r="D199" s="629" t="str">
        <f>nmProd1Offering2&amp;" Investments"</f>
        <v>Dynamo 365 Investments</v>
      </c>
      <c r="E199" s="630">
        <f t="shared" ref="E199" si="107">decEGProd1Offering2*paramEGOfferingCOGSPLevel</f>
        <v>0</v>
      </c>
    </row>
    <row r="200" spans="1:7" ht="13.8">
      <c r="D200" s="629" t="s">
        <v>1764</v>
      </c>
      <c r="E200" s="579">
        <f t="shared" ref="E200" si="108">SUM(E194:E199)</f>
        <v>2.7</v>
      </c>
      <c r="F200" s="629" t="s">
        <v>2031</v>
      </c>
      <c r="G200" s="371"/>
    </row>
    <row r="201" spans="1:7" ht="13.8"/>
    <row r="202" spans="1:7" ht="13.8">
      <c r="D202" s="372" t="s">
        <v>881</v>
      </c>
      <c r="E202" s="579">
        <f t="shared" ref="E202" si="109">CalcProd1Seg3BaseCOGSPRenewalUnit</f>
        <v>2.7</v>
      </c>
      <c r="G202" s="371"/>
    </row>
    <row r="203" spans="1:7" ht="13.8">
      <c r="D203" s="372" t="s">
        <v>880</v>
      </c>
      <c r="E203" s="630">
        <f t="shared" ref="E203" si="110">CalcProd1Seg3DCExpRenewal/CalcProd1Seg3RenewalVolume</f>
        <v>6.3900194798454848E-3</v>
      </c>
    </row>
    <row r="204" spans="1:7" s="399" customFormat="1" ht="2.1" customHeight="1">
      <c r="A204" s="402"/>
      <c r="B204" s="304"/>
      <c r="C204" s="372"/>
      <c r="D204" s="401"/>
      <c r="E204" s="401"/>
      <c r="F204" s="372"/>
      <c r="G204" s="400"/>
    </row>
    <row r="205" spans="1:7" s="370" customFormat="1" ht="16.8">
      <c r="A205" s="372"/>
      <c r="B205" s="372"/>
      <c r="C205" s="372"/>
      <c r="D205" s="372" t="s">
        <v>879</v>
      </c>
      <c r="E205" s="630">
        <f t="shared" ref="E205" si="111">SUM(E202:E203)</f>
        <v>2.7063900194798456</v>
      </c>
      <c r="F205" s="629" t="s">
        <v>2032</v>
      </c>
      <c r="G205" s="372"/>
    </row>
    <row r="206" spans="1:7" s="370" customFormat="1" ht="16.8">
      <c r="A206" s="372"/>
      <c r="B206" s="372"/>
      <c r="C206" s="372"/>
      <c r="D206" s="372"/>
      <c r="E206" s="372"/>
      <c r="F206" s="372"/>
      <c r="G206" s="372"/>
    </row>
    <row r="207" spans="1:7" s="370" customFormat="1" ht="16.8">
      <c r="A207" s="372"/>
      <c r="B207" s="372"/>
      <c r="C207" s="372"/>
      <c r="D207" s="372" t="s">
        <v>878</v>
      </c>
      <c r="E207" s="631">
        <f t="shared" ref="E207" si="112">(CalcProd1Seg3RenewalVolume*CalcProd1Seg3CloudRenewalCOGSUnit)</f>
        <v>15938688.748763025</v>
      </c>
      <c r="F207" s="372" t="s">
        <v>2033</v>
      </c>
      <c r="G207" s="372"/>
    </row>
    <row r="208" spans="1:7" ht="13.8"/>
    <row r="209" spans="1:7" ht="13.8">
      <c r="C209" s="393" t="s">
        <v>1655</v>
      </c>
      <c r="E209" s="405"/>
    </row>
    <row r="210" spans="1:7" ht="13.8">
      <c r="D210" s="372" t="s">
        <v>881</v>
      </c>
      <c r="E210" s="579">
        <f t="shared" ref="E210" si="113">paramProd1COGSPNonCloudUnit</f>
        <v>1.3499999999999999</v>
      </c>
      <c r="G210" s="371"/>
    </row>
    <row r="211" spans="1:7" s="399" customFormat="1" ht="2.1" customHeight="1">
      <c r="A211" s="402"/>
      <c r="B211" s="304"/>
      <c r="C211" s="372"/>
      <c r="D211" s="401"/>
      <c r="E211" s="401"/>
      <c r="F211" s="372"/>
      <c r="G211" s="400"/>
    </row>
    <row r="212" spans="1:7" s="370" customFormat="1" ht="16.8">
      <c r="A212" s="372"/>
      <c r="B212" s="372"/>
      <c r="C212" s="372"/>
      <c r="D212" s="372" t="s">
        <v>879</v>
      </c>
      <c r="E212" s="630">
        <f t="shared" ref="E212" si="114">SUM(E210:E210)</f>
        <v>1.3499999999999999</v>
      </c>
      <c r="F212" s="629" t="s">
        <v>2034</v>
      </c>
      <c r="G212" s="372"/>
    </row>
    <row r="213" spans="1:7" s="370" customFormat="1" ht="16.8">
      <c r="A213" s="372"/>
      <c r="B213" s="372"/>
      <c r="C213" s="372"/>
      <c r="D213" s="372"/>
      <c r="E213" s="372"/>
      <c r="F213" s="372"/>
      <c r="G213" s="372"/>
    </row>
    <row r="214" spans="1:7" s="370" customFormat="1" ht="16.8">
      <c r="A214" s="372"/>
      <c r="B214" s="372"/>
      <c r="C214" s="372"/>
      <c r="D214" s="629" t="s">
        <v>1772</v>
      </c>
      <c r="E214" s="631">
        <f t="shared" ref="E214" si="115">CalcProd1Seg3NonCloudVolume*CalcProd1Seg3NonCloudRenewalCOGSUnit</f>
        <v>0</v>
      </c>
      <c r="F214" s="372" t="s">
        <v>2035</v>
      </c>
      <c r="G214" s="372"/>
    </row>
    <row r="215" spans="1:7" s="370" customFormat="1" ht="16.8">
      <c r="A215" s="372"/>
      <c r="B215" s="372"/>
      <c r="C215" s="372"/>
      <c r="D215" s="372"/>
      <c r="E215" s="404"/>
      <c r="F215" s="372"/>
      <c r="G215" s="372"/>
    </row>
    <row r="216" spans="1:7" s="370" customFormat="1" ht="16.8">
      <c r="A216" s="372"/>
      <c r="B216" s="372"/>
      <c r="C216" s="393" t="s">
        <v>877</v>
      </c>
      <c r="D216" s="372"/>
      <c r="E216" s="373"/>
      <c r="F216" s="372"/>
      <c r="G216" s="372"/>
    </row>
    <row r="217" spans="1:7" s="370" customFormat="1" ht="16.8">
      <c r="A217" s="372"/>
      <c r="B217" s="372"/>
      <c r="C217" s="372"/>
      <c r="D217" s="372" t="str">
        <f>"From New "&amp;FinDefBookingsName</f>
        <v>From New Bookings</v>
      </c>
      <c r="E217" s="632">
        <f t="shared" ref="E217" si="116">finPNLProd1Seg3NewBookings*FinDefDeferralRate</f>
        <v>9646934.22000001</v>
      </c>
      <c r="F217" s="372"/>
      <c r="G217" s="372"/>
    </row>
    <row r="218" spans="1:7" s="370" customFormat="1" ht="16.8">
      <c r="A218" s="372"/>
      <c r="B218" s="372"/>
      <c r="C218" s="372"/>
      <c r="D218" s="372" t="str">
        <f>"From Renewal "&amp;FinDefBookingsName</f>
        <v>From Renewal Bookings</v>
      </c>
      <c r="E218" s="632">
        <f t="shared" ref="E218" si="117">finPNLProd1Seg3RenewalBookings*FinDefDeferralRate</f>
        <v>44169600.373673305</v>
      </c>
      <c r="F218" s="372"/>
      <c r="G218" s="372"/>
    </row>
    <row r="219" spans="1:7" s="399" customFormat="1" ht="2.1" customHeight="1">
      <c r="A219" s="402"/>
      <c r="B219" s="304"/>
      <c r="C219" s="372"/>
      <c r="D219" s="401"/>
      <c r="E219" s="633"/>
      <c r="F219" s="400"/>
      <c r="G219" s="400"/>
    </row>
    <row r="220" spans="1:7" s="370" customFormat="1" ht="16.8">
      <c r="A220" s="372"/>
      <c r="B220" s="372"/>
      <c r="C220" s="372"/>
      <c r="D220" s="372" t="s">
        <v>876</v>
      </c>
      <c r="E220" s="636">
        <f t="shared" ref="E220" si="118">SUM(E217:E218)</f>
        <v>53816534.593673319</v>
      </c>
      <c r="F220" s="372"/>
      <c r="G220" s="372"/>
    </row>
    <row r="221" spans="1:7" s="370" customFormat="1" ht="16.8">
      <c r="A221" s="372"/>
      <c r="B221" s="372"/>
      <c r="C221" s="372"/>
      <c r="D221" s="372"/>
      <c r="E221" s="372"/>
      <c r="F221" s="372"/>
      <c r="G221" s="372"/>
    </row>
    <row r="222" spans="1:7" s="370" customFormat="1" ht="16.8">
      <c r="A222" s="372"/>
      <c r="B222" s="372"/>
      <c r="C222" s="372"/>
      <c r="D222" s="372" t="s">
        <v>838</v>
      </c>
      <c r="E222" s="637">
        <f t="shared" ref="E222" si="119">IF(FinDefContractLength=1,0,obalProd1Seg3DefRev)</f>
        <v>64019125.799999997</v>
      </c>
      <c r="F222" s="372"/>
      <c r="G222" s="371"/>
    </row>
    <row r="223" spans="1:7" s="370" customFormat="1" ht="16.8">
      <c r="A223" s="372"/>
      <c r="B223" s="372"/>
      <c r="C223" s="372"/>
      <c r="D223" s="372" t="s">
        <v>875</v>
      </c>
      <c r="E223" s="632">
        <f t="shared" ref="E223" si="120">finPNLProd1Seg3RevFromDef*-1</f>
        <v>-64019125.799999997</v>
      </c>
      <c r="F223" s="372"/>
      <c r="G223" s="372"/>
    </row>
    <row r="224" spans="1:7" s="370" customFormat="1" ht="16.8">
      <c r="A224" s="372"/>
      <c r="B224" s="372"/>
      <c r="C224" s="372"/>
      <c r="D224" s="372" t="s">
        <v>874</v>
      </c>
      <c r="E224" s="632">
        <f t="shared" ref="E224" si="121">E220</f>
        <v>53816534.593673319</v>
      </c>
      <c r="F224" s="372"/>
      <c r="G224" s="372"/>
    </row>
    <row r="225" spans="1:7" s="399" customFormat="1" ht="2.1" customHeight="1">
      <c r="A225" s="402"/>
      <c r="B225" s="304"/>
      <c r="C225" s="372"/>
      <c r="D225" s="401"/>
      <c r="E225" s="633"/>
      <c r="F225" s="400"/>
      <c r="G225" s="400"/>
    </row>
    <row r="226" spans="1:7" s="370" customFormat="1" ht="16.8">
      <c r="A226" s="372"/>
      <c r="B226" s="372"/>
      <c r="C226" s="372"/>
      <c r="D226" s="372" t="s">
        <v>873</v>
      </c>
      <c r="E226" s="636">
        <f t="shared" ref="E226" si="122">SUM(E222:E224)</f>
        <v>53816534.593673319</v>
      </c>
      <c r="F226" s="629" t="s">
        <v>2036</v>
      </c>
      <c r="G226" s="371" t="s">
        <v>872</v>
      </c>
    </row>
    <row r="227" spans="1:7" s="370" customFormat="1" ht="16.8">
      <c r="A227" s="372"/>
      <c r="B227" s="372"/>
      <c r="C227" s="372"/>
      <c r="D227" s="372"/>
      <c r="E227" s="636"/>
      <c r="F227" s="372"/>
      <c r="G227" s="371"/>
    </row>
    <row r="228" spans="1:7" s="580" customFormat="1" ht="13.8">
      <c r="B228" s="581" t="str">
        <f>nmProd2Seg1</f>
        <v>Intelligent Cloud Enterprise</v>
      </c>
      <c r="C228" s="581"/>
      <c r="D228" s="581"/>
      <c r="E228" s="582"/>
    </row>
    <row r="229" spans="1:7" ht="13.8"/>
    <row r="230" spans="1:7" ht="13.8">
      <c r="C230" s="393" t="s">
        <v>216</v>
      </c>
    </row>
    <row r="231" spans="1:7" ht="13.8">
      <c r="D231" s="372" t="s">
        <v>889</v>
      </c>
      <c r="E231" s="403">
        <f t="shared" ref="E231" si="123">IF(xxSim0Tool1=1,decCommercialProd2Seg1Share*INDEX(mmSubProd2Seg1NewTAM,xxRound+1),mmSubProd2Seg1NewSubs)</f>
        <v>1630946.6316000007</v>
      </c>
      <c r="F231" s="372" t="s">
        <v>2037</v>
      </c>
      <c r="G231" s="371"/>
    </row>
    <row r="232" spans="1:7" ht="13.8">
      <c r="D232" s="372" t="s">
        <v>888</v>
      </c>
      <c r="E232" s="403">
        <f t="shared" ref="E232" si="124">IF(xxSim0Tool1=1,obalProd2Seg1TotalSubs*calcRenRateProd2Seg1RenewalRateEnd,mmSubProd2Seg1RenewedSubs)</f>
        <v>1607560.7912520473</v>
      </c>
      <c r="F232" s="372" t="s">
        <v>2038</v>
      </c>
      <c r="G232" s="371"/>
    </row>
    <row r="233" spans="1:7" ht="13.8">
      <c r="D233" s="629" t="s">
        <v>50</v>
      </c>
      <c r="E233" s="397">
        <f t="shared" ref="E233" si="125">SUM(E231:E232)</f>
        <v>3238507.4228520477</v>
      </c>
      <c r="F233" s="629" t="s">
        <v>2039</v>
      </c>
      <c r="G233" s="371"/>
    </row>
    <row r="234" spans="1:7" ht="13.8"/>
    <row r="235" spans="1:7" ht="13.8">
      <c r="C235" s="393" t="s">
        <v>1597</v>
      </c>
    </row>
    <row r="236" spans="1:7" ht="13.8">
      <c r="D236" s="372" t="s">
        <v>889</v>
      </c>
      <c r="E236" s="403">
        <f t="shared" ref="E236" si="126">CalcProd2Seg1NewVolume/paramSeg1SubsPCustomer</f>
        <v>163.09466316000007</v>
      </c>
      <c r="F236" s="372" t="s">
        <v>2040</v>
      </c>
      <c r="G236" s="371"/>
    </row>
    <row r="237" spans="1:7" ht="13.8">
      <c r="D237" s="372" t="s">
        <v>888</v>
      </c>
      <c r="E237" s="403">
        <f t="shared" ref="E237" si="127">CalcProd2Seg1RenewalVolume/paramSeg1SubsPCustomer</f>
        <v>160.75607912520474</v>
      </c>
      <c r="F237" s="372" t="s">
        <v>2041</v>
      </c>
      <c r="G237" s="371"/>
    </row>
    <row r="238" spans="1:7" ht="13.8">
      <c r="D238" s="629" t="s">
        <v>50</v>
      </c>
      <c r="E238" s="403">
        <f t="shared" ref="E238" si="128">SUM(E236:E237)</f>
        <v>323.85074228520477</v>
      </c>
      <c r="F238" s="372" t="s">
        <v>2042</v>
      </c>
      <c r="G238" s="371"/>
    </row>
    <row r="239" spans="1:7" ht="13.8"/>
    <row r="240" spans="1:7" ht="13.8">
      <c r="C240" s="393" t="s">
        <v>188</v>
      </c>
      <c r="E240" s="579">
        <f t="shared" ref="E240" si="129">cbalCommercialProd2Price</f>
        <v>50</v>
      </c>
      <c r="F240" s="629" t="s">
        <v>2043</v>
      </c>
      <c r="G240" s="371"/>
    </row>
    <row r="241" spans="1:7" ht="13.8"/>
    <row r="242" spans="1:7" ht="15" customHeight="1">
      <c r="C242" s="393" t="s">
        <v>887</v>
      </c>
    </row>
    <row r="243" spans="1:7" ht="13.8">
      <c r="D243" s="629" t="s">
        <v>1765</v>
      </c>
      <c r="E243" s="579">
        <f t="shared" ref="E243" si="130">obalProd2BaseNewCOGS</f>
        <v>9.5</v>
      </c>
      <c r="G243" s="371"/>
    </row>
    <row r="244" spans="1:7" ht="13.8">
      <c r="D244" s="629" t="s">
        <v>1761</v>
      </c>
      <c r="E244" s="630">
        <f t="shared" ref="E244" si="131">decEGSecurity*paramEGPlatformCOGSPLevel</f>
        <v>0</v>
      </c>
    </row>
    <row r="245" spans="1:7" ht="13.8">
      <c r="D245" s="629" t="s">
        <v>1762</v>
      </c>
      <c r="E245" s="630">
        <f t="shared" ref="E245" si="132">decEGInteroperability*paramEGPlatformCOGSPLevel</f>
        <v>0</v>
      </c>
    </row>
    <row r="246" spans="1:7" ht="13.8">
      <c r="D246" s="629" t="s">
        <v>1763</v>
      </c>
      <c r="E246" s="630">
        <f t="shared" ref="E246" si="133">decEGScalability*paramEGPlatformCOGSPLevel</f>
        <v>0</v>
      </c>
    </row>
    <row r="247" spans="1:7" ht="13.8">
      <c r="D247" s="629" t="str">
        <f>nmProd2Offering1&amp;" Investments"</f>
        <v>Azul Infrastructure Investments</v>
      </c>
      <c r="E247" s="630">
        <f t="shared" ref="E247" si="134">decEGProd2Offering1*paramEGOfferingCOGSPLevel</f>
        <v>0</v>
      </c>
    </row>
    <row r="248" spans="1:7" ht="13.8">
      <c r="D248" s="629" t="str">
        <f>nmProd2Offering2&amp;" Investments"</f>
        <v>Azul Data, Applications, and AI Investments</v>
      </c>
      <c r="E248" s="630">
        <f t="shared" ref="E248" si="135">decEGProd2Offering2*paramEGOfferingCOGSPLevel</f>
        <v>0</v>
      </c>
    </row>
    <row r="249" spans="1:7" ht="13.8">
      <c r="D249" s="629" t="s">
        <v>1764</v>
      </c>
      <c r="E249" s="579">
        <f t="shared" ref="E249" si="136">SUM(E243:E248)</f>
        <v>9.5</v>
      </c>
      <c r="F249" s="629" t="s">
        <v>2044</v>
      </c>
      <c r="G249" s="371"/>
    </row>
    <row r="250" spans="1:7" ht="13.8"/>
    <row r="251" spans="1:7" ht="13.8">
      <c r="D251" s="372" t="s">
        <v>886</v>
      </c>
      <c r="E251" s="579">
        <f t="shared" ref="E251" si="137">CalcProd2Seg1BaseCOGSPNewUnit</f>
        <v>9.5</v>
      </c>
      <c r="G251" s="371"/>
    </row>
    <row r="252" spans="1:7" ht="13.8">
      <c r="D252" s="372" t="s">
        <v>885</v>
      </c>
      <c r="E252" s="630">
        <f t="shared" ref="E252" si="138">CalcProd2Seg1DCExpNew/CalcProd2Seg1NewVolume</f>
        <v>0.31950097399227423</v>
      </c>
    </row>
    <row r="253" spans="1:7" s="399" customFormat="1" ht="2.1" customHeight="1">
      <c r="A253" s="402"/>
      <c r="B253" s="304"/>
      <c r="C253" s="372"/>
      <c r="D253" s="401"/>
      <c r="E253" s="401"/>
      <c r="F253" s="372"/>
      <c r="G253" s="400"/>
    </row>
    <row r="254" spans="1:7" s="370" customFormat="1" ht="16.8">
      <c r="A254" s="372"/>
      <c r="B254" s="372"/>
      <c r="C254" s="372"/>
      <c r="D254" s="372" t="s">
        <v>884</v>
      </c>
      <c r="E254" s="630">
        <f t="shared" ref="E254" si="139">SUM(E251:E252)</f>
        <v>9.819500973992275</v>
      </c>
      <c r="F254" s="372" t="s">
        <v>2045</v>
      </c>
      <c r="G254" s="372"/>
    </row>
    <row r="255" spans="1:7" s="370" customFormat="1" ht="16.8">
      <c r="A255" s="372"/>
      <c r="B255" s="372"/>
      <c r="C255" s="372"/>
      <c r="D255" s="372"/>
      <c r="E255" s="372"/>
      <c r="F255" s="372"/>
      <c r="G255" s="372"/>
    </row>
    <row r="256" spans="1:7" s="370" customFormat="1" ht="16.8">
      <c r="A256" s="372"/>
      <c r="B256" s="372"/>
      <c r="C256" s="372"/>
      <c r="D256" s="372" t="s">
        <v>883</v>
      </c>
      <c r="E256" s="631">
        <f t="shared" ref="E256" si="140">CalcProd2Seg1NewVolume*CalcProd2Seg1Prod2NewCOGSUnit</f>
        <v>16015082.037525626</v>
      </c>
      <c r="F256" s="629" t="s">
        <v>2046</v>
      </c>
      <c r="G256" s="372"/>
    </row>
    <row r="257" spans="1:7" ht="13.8"/>
    <row r="258" spans="1:7" ht="13.8">
      <c r="C258" s="393" t="s">
        <v>882</v>
      </c>
      <c r="E258" s="405"/>
    </row>
    <row r="259" spans="1:7" ht="13.8">
      <c r="D259" s="629" t="s">
        <v>1765</v>
      </c>
      <c r="E259" s="579">
        <f t="shared" ref="E259" si="141">obalProd2BaseRenewalCOGS</f>
        <v>8.5</v>
      </c>
      <c r="G259" s="371"/>
    </row>
    <row r="260" spans="1:7" ht="13.8">
      <c r="D260" s="629" t="s">
        <v>1761</v>
      </c>
      <c r="E260" s="630">
        <f t="shared" ref="E260" si="142">decEGSecurity*paramEGPlatformCOGSPLevel</f>
        <v>0</v>
      </c>
    </row>
    <row r="261" spans="1:7" ht="13.8">
      <c r="D261" s="629" t="s">
        <v>1762</v>
      </c>
      <c r="E261" s="630">
        <f t="shared" ref="E261" si="143">decEGInteroperability*paramEGPlatformCOGSPLevel</f>
        <v>0</v>
      </c>
    </row>
    <row r="262" spans="1:7" ht="13.8">
      <c r="D262" s="629" t="s">
        <v>1763</v>
      </c>
      <c r="E262" s="630">
        <f t="shared" ref="E262" si="144">decEGScalability*paramEGPlatformCOGSPLevel</f>
        <v>0</v>
      </c>
    </row>
    <row r="263" spans="1:7" ht="13.8">
      <c r="D263" s="629" t="str">
        <f>nmProd2Offering1&amp;" Investments"</f>
        <v>Azul Infrastructure Investments</v>
      </c>
      <c r="E263" s="630">
        <f t="shared" ref="E263" si="145">decEGProd2Offering1*paramEGOfferingCOGSPLevel</f>
        <v>0</v>
      </c>
    </row>
    <row r="264" spans="1:7" ht="13.8">
      <c r="D264" s="629" t="str">
        <f>nmProd2Offering2&amp;" Investments"</f>
        <v>Azul Data, Applications, and AI Investments</v>
      </c>
      <c r="E264" s="630">
        <f t="shared" ref="E264" si="146">decEGProd2Offering2*paramEGOfferingCOGSPLevel</f>
        <v>0</v>
      </c>
    </row>
    <row r="265" spans="1:7" ht="13.8">
      <c r="D265" s="629" t="s">
        <v>1764</v>
      </c>
      <c r="E265" s="579">
        <f t="shared" ref="E265" si="147">SUM(E259:E264)</f>
        <v>8.5</v>
      </c>
      <c r="F265" s="629" t="s">
        <v>2047</v>
      </c>
      <c r="G265" s="371"/>
    </row>
    <row r="266" spans="1:7" ht="13.8"/>
    <row r="267" spans="1:7" ht="13.8">
      <c r="D267" s="372" t="s">
        <v>881</v>
      </c>
      <c r="E267" s="579">
        <f t="shared" ref="E267" si="148">CalcProd2Seg1BaseCOGSPRenewalUnit</f>
        <v>8.5</v>
      </c>
      <c r="G267" s="371"/>
    </row>
    <row r="268" spans="1:7" ht="13.8">
      <c r="D268" s="372" t="s">
        <v>880</v>
      </c>
      <c r="E268" s="630">
        <f t="shared" ref="E268" si="149">CalcProd2Seg1DCExpRenewal/CalcProd2Seg1RenewalVolume</f>
        <v>0.31950097399227428</v>
      </c>
    </row>
    <row r="269" spans="1:7" s="399" customFormat="1" ht="2.1" customHeight="1">
      <c r="A269" s="402"/>
      <c r="B269" s="304"/>
      <c r="C269" s="372"/>
      <c r="D269" s="401"/>
      <c r="E269" s="401"/>
      <c r="F269" s="372"/>
      <c r="G269" s="400"/>
    </row>
    <row r="270" spans="1:7" s="370" customFormat="1" ht="16.8">
      <c r="A270" s="372"/>
      <c r="B270" s="372"/>
      <c r="C270" s="372"/>
      <c r="D270" s="372" t="s">
        <v>879</v>
      </c>
      <c r="E270" s="630">
        <f t="shared" ref="E270" si="150">SUM(E267:E268)</f>
        <v>8.819500973992275</v>
      </c>
      <c r="F270" s="372" t="s">
        <v>2048</v>
      </c>
      <c r="G270" s="372"/>
    </row>
    <row r="271" spans="1:7" s="370" customFormat="1" ht="16.8">
      <c r="A271" s="372"/>
      <c r="B271" s="372"/>
      <c r="C271" s="372"/>
      <c r="D271" s="372"/>
      <c r="E271" s="372"/>
      <c r="F271" s="372"/>
      <c r="G271" s="372"/>
    </row>
    <row r="272" spans="1:7" s="370" customFormat="1" ht="16.8">
      <c r="A272" s="372"/>
      <c r="B272" s="372"/>
      <c r="C272" s="372"/>
      <c r="D272" s="372" t="s">
        <v>878</v>
      </c>
      <c r="E272" s="631">
        <f t="shared" ref="E272" si="151">CalcProd2Seg1RenewalVolume*CalcProd2Seg1RenewalCOGSUnit</f>
        <v>14177883.964199223</v>
      </c>
      <c r="F272" s="372" t="s">
        <v>2049</v>
      </c>
      <c r="G272" s="372"/>
    </row>
    <row r="273" spans="1:7" s="370" customFormat="1" ht="16.8">
      <c r="A273" s="372"/>
      <c r="B273" s="372"/>
      <c r="C273" s="372"/>
      <c r="D273" s="372"/>
      <c r="E273" s="404"/>
      <c r="F273" s="372"/>
      <c r="G273" s="372"/>
    </row>
    <row r="274" spans="1:7" s="370" customFormat="1" ht="16.8">
      <c r="A274" s="372"/>
      <c r="B274" s="372"/>
      <c r="C274" s="393" t="s">
        <v>877</v>
      </c>
      <c r="D274" s="372"/>
      <c r="E274" s="373"/>
      <c r="F274" s="372"/>
      <c r="G274" s="372"/>
    </row>
    <row r="275" spans="1:7" s="370" customFormat="1" ht="16.8">
      <c r="A275" s="372"/>
      <c r="B275" s="372"/>
      <c r="C275" s="372"/>
      <c r="D275" s="372" t="str">
        <f>"From New "&amp;FinDefBookingsName</f>
        <v>From New Bookings</v>
      </c>
      <c r="E275" s="632">
        <f t="shared" ref="E275" si="152">finPNLProd2Seg1NewBookings*FinDefDeferralRate</f>
        <v>40773665.790000014</v>
      </c>
      <c r="F275" s="372"/>
      <c r="G275" s="372"/>
    </row>
    <row r="276" spans="1:7" s="370" customFormat="1" ht="16.8">
      <c r="A276" s="372"/>
      <c r="B276" s="372"/>
      <c r="C276" s="372"/>
      <c r="D276" s="372" t="str">
        <f>"From Renewal "&amp;FinDefBookingsName</f>
        <v>From Renewal Bookings</v>
      </c>
      <c r="E276" s="632">
        <f t="shared" ref="E276" si="153">finPNLProd2Seg1RenewalBookings*FinDefDeferralRate</f>
        <v>40189019.781301185</v>
      </c>
      <c r="F276" s="372"/>
      <c r="G276" s="372"/>
    </row>
    <row r="277" spans="1:7" s="399" customFormat="1" ht="2.1" customHeight="1">
      <c r="A277" s="402"/>
      <c r="B277" s="304"/>
      <c r="C277" s="372"/>
      <c r="D277" s="401"/>
      <c r="E277" s="633"/>
      <c r="F277" s="400"/>
      <c r="G277" s="400"/>
    </row>
    <row r="278" spans="1:7" s="370" customFormat="1" ht="16.8">
      <c r="A278" s="372"/>
      <c r="B278" s="372"/>
      <c r="C278" s="372"/>
      <c r="D278" s="372" t="s">
        <v>876</v>
      </c>
      <c r="E278" s="636">
        <f t="shared" ref="E278" si="154">SUM(E275:E276)</f>
        <v>80962685.571301192</v>
      </c>
      <c r="F278" s="372"/>
      <c r="G278" s="372"/>
    </row>
    <row r="279" spans="1:7" s="370" customFormat="1" ht="16.8">
      <c r="A279" s="372"/>
      <c r="B279" s="372"/>
      <c r="C279" s="372"/>
      <c r="D279" s="372"/>
      <c r="E279" s="372"/>
      <c r="F279" s="372"/>
      <c r="G279" s="372"/>
    </row>
    <row r="280" spans="1:7" s="370" customFormat="1" ht="16.8">
      <c r="A280" s="372"/>
      <c r="B280" s="372"/>
      <c r="C280" s="372"/>
      <c r="D280" s="372" t="s">
        <v>838</v>
      </c>
      <c r="E280" s="637">
        <f t="shared" ref="E280" si="155">IF(FinDefContractLength=1,0,obalProd2Seg1DefRev)</f>
        <v>58249698.693025321</v>
      </c>
      <c r="F280" s="372"/>
      <c r="G280" s="371"/>
    </row>
    <row r="281" spans="1:7" s="370" customFormat="1" ht="16.8">
      <c r="A281" s="372"/>
      <c r="B281" s="372"/>
      <c r="C281" s="372"/>
      <c r="D281" s="372" t="s">
        <v>875</v>
      </c>
      <c r="E281" s="632">
        <f t="shared" ref="E281" si="156">finPNLProd2Seg1RevFromDef*-1</f>
        <v>-58249698.693025321</v>
      </c>
      <c r="F281" s="372"/>
      <c r="G281" s="372"/>
    </row>
    <row r="282" spans="1:7" s="370" customFormat="1" ht="16.8">
      <c r="A282" s="372"/>
      <c r="B282" s="372"/>
      <c r="C282" s="372"/>
      <c r="D282" s="372" t="s">
        <v>874</v>
      </c>
      <c r="E282" s="632">
        <f t="shared" ref="E282" si="157">E278</f>
        <v>80962685.571301192</v>
      </c>
      <c r="F282" s="372"/>
      <c r="G282" s="372"/>
    </row>
    <row r="283" spans="1:7" s="399" customFormat="1" ht="2.1" customHeight="1">
      <c r="A283" s="402"/>
      <c r="B283" s="304"/>
      <c r="C283" s="372"/>
      <c r="D283" s="401"/>
      <c r="E283" s="633"/>
      <c r="F283" s="400"/>
      <c r="G283" s="400"/>
    </row>
    <row r="284" spans="1:7" s="370" customFormat="1" ht="16.8">
      <c r="A284" s="372"/>
      <c r="B284" s="372"/>
      <c r="C284" s="372"/>
      <c r="D284" s="372" t="s">
        <v>873</v>
      </c>
      <c r="E284" s="636">
        <f t="shared" ref="E284" si="158">SUM(E280:E282)</f>
        <v>80962685.571301192</v>
      </c>
      <c r="F284" s="629" t="s">
        <v>2050</v>
      </c>
      <c r="G284" s="371" t="s">
        <v>1512</v>
      </c>
    </row>
    <row r="285" spans="1:7" s="370" customFormat="1" ht="16.8">
      <c r="A285" s="372"/>
      <c r="B285" s="372"/>
      <c r="C285" s="372"/>
      <c r="D285" s="372"/>
      <c r="E285" s="372"/>
      <c r="F285" s="372"/>
      <c r="G285" s="371"/>
    </row>
    <row r="286" spans="1:7" s="370" customFormat="1" ht="16.8">
      <c r="A286" s="372"/>
      <c r="B286" s="372"/>
      <c r="C286" s="372"/>
      <c r="D286" s="372"/>
      <c r="E286" s="373"/>
      <c r="F286" s="372"/>
      <c r="G286" s="372"/>
    </row>
    <row r="287" spans="1:7" s="580" customFormat="1" ht="13.8">
      <c r="B287" s="581" t="str">
        <f>nmProd2Seg2</f>
        <v>Intelligent Cloud SMC</v>
      </c>
      <c r="C287" s="581"/>
      <c r="D287" s="581"/>
      <c r="E287" s="582"/>
    </row>
    <row r="288" spans="1:7" ht="13.8"/>
    <row r="289" spans="3:7" ht="13.8">
      <c r="C289" s="393" t="s">
        <v>216</v>
      </c>
    </row>
    <row r="290" spans="3:7" ht="13.8">
      <c r="D290" s="372" t="s">
        <v>889</v>
      </c>
      <c r="E290" s="403">
        <f t="shared" ref="E290" si="159">IF(xxSim0Tool1=1,decCommercialProd2Seg2Share*INDEX(mmSubProd2Seg2NewTAM,xxRound+1),mmSubProd2Seg2NewSubs)</f>
        <v>2503465.1284500007</v>
      </c>
      <c r="F290" s="372" t="s">
        <v>2051</v>
      </c>
      <c r="G290" s="371"/>
    </row>
    <row r="291" spans="3:7" ht="13.8">
      <c r="D291" s="372" t="s">
        <v>888</v>
      </c>
      <c r="E291" s="403">
        <f t="shared" ref="E291" si="160">IF(xxSim0Tool1=1,obalProd2Seg2TotalSubs*calcRenRateProd2Seg2RenewalRateEnd,mmSubProd2Seg2RenewedSubs)</f>
        <v>1754071.1205826176</v>
      </c>
      <c r="F291" s="372" t="s">
        <v>2052</v>
      </c>
      <c r="G291" s="371"/>
    </row>
    <row r="292" spans="3:7" ht="13.8">
      <c r="D292" s="629" t="s">
        <v>50</v>
      </c>
      <c r="E292" s="397">
        <f t="shared" ref="E292" si="161">SUM(E290:E291)</f>
        <v>4257536.2490326185</v>
      </c>
      <c r="F292" s="629" t="s">
        <v>2053</v>
      </c>
      <c r="G292" s="371"/>
    </row>
    <row r="293" spans="3:7" ht="13.8"/>
    <row r="294" spans="3:7" ht="13.8">
      <c r="C294" s="393" t="s">
        <v>1597</v>
      </c>
    </row>
    <row r="295" spans="3:7" ht="13.8">
      <c r="D295" s="372" t="s">
        <v>889</v>
      </c>
      <c r="E295" s="403">
        <f t="shared" ref="E295" si="162">CalcProd2Seg2NewVolume/paramSeg2SubsPCustomer</f>
        <v>2503.4651284500005</v>
      </c>
      <c r="F295" s="372" t="s">
        <v>2054</v>
      </c>
      <c r="G295" s="371"/>
    </row>
    <row r="296" spans="3:7" ht="13.8">
      <c r="D296" s="372" t="s">
        <v>888</v>
      </c>
      <c r="E296" s="403">
        <f t="shared" ref="E296" si="163">CalcProd2Seg2RenewalVolume/paramSeg2SubsPCustomer</f>
        <v>1754.0711205826176</v>
      </c>
      <c r="F296" s="372" t="s">
        <v>2055</v>
      </c>
      <c r="G296" s="371"/>
    </row>
    <row r="297" spans="3:7" ht="13.8">
      <c r="D297" s="629" t="s">
        <v>50</v>
      </c>
      <c r="E297" s="403">
        <f t="shared" ref="E297" si="164">SUM(E295:E296)</f>
        <v>4257.5362490326179</v>
      </c>
      <c r="F297" s="372" t="s">
        <v>2056</v>
      </c>
      <c r="G297" s="371"/>
    </row>
    <row r="298" spans="3:7" ht="13.8"/>
    <row r="299" spans="3:7" ht="13.8">
      <c r="C299" s="393" t="s">
        <v>188</v>
      </c>
      <c r="E299" s="579">
        <f t="shared" ref="E299" si="165">cbalCommercialProd2Price</f>
        <v>50</v>
      </c>
      <c r="F299" s="629" t="s">
        <v>2057</v>
      </c>
      <c r="G299" s="371"/>
    </row>
    <row r="300" spans="3:7" ht="13.8"/>
    <row r="301" spans="3:7" ht="13.8">
      <c r="C301" s="393" t="s">
        <v>887</v>
      </c>
    </row>
    <row r="302" spans="3:7" ht="13.8">
      <c r="D302" s="629" t="s">
        <v>1765</v>
      </c>
      <c r="E302" s="579">
        <f t="shared" ref="E302" si="166">obalProd2BaseNewCOGS</f>
        <v>9.5</v>
      </c>
      <c r="G302" s="371"/>
    </row>
    <row r="303" spans="3:7" ht="13.8">
      <c r="D303" s="629" t="s">
        <v>1761</v>
      </c>
      <c r="E303" s="630">
        <f t="shared" ref="E303" si="167">decEGSecurity*paramEGPlatformCOGSPLevel</f>
        <v>0</v>
      </c>
    </row>
    <row r="304" spans="3:7" ht="13.8">
      <c r="D304" s="629" t="s">
        <v>1762</v>
      </c>
      <c r="E304" s="630">
        <f t="shared" ref="E304" si="168">decEGInteroperability*paramEGPlatformCOGSPLevel</f>
        <v>0</v>
      </c>
    </row>
    <row r="305" spans="1:7" ht="13.8">
      <c r="D305" s="629" t="s">
        <v>1763</v>
      </c>
      <c r="E305" s="630">
        <f t="shared" ref="E305" si="169">decEGScalability*paramEGPlatformCOGSPLevel</f>
        <v>0</v>
      </c>
    </row>
    <row r="306" spans="1:7" ht="13.8">
      <c r="D306" s="629" t="str">
        <f>nmProd2Offering1&amp;" Investments"</f>
        <v>Azul Infrastructure Investments</v>
      </c>
      <c r="E306" s="630">
        <f t="shared" ref="E306" si="170">decEGProd2Offering1*paramEGOfferingCOGSPLevel</f>
        <v>0</v>
      </c>
    </row>
    <row r="307" spans="1:7" ht="13.8">
      <c r="D307" s="629" t="str">
        <f>nmProd2Offering2&amp;" Investments"</f>
        <v>Azul Data, Applications, and AI Investments</v>
      </c>
      <c r="E307" s="630">
        <f t="shared" ref="E307" si="171">decEGProd2Offering2*paramEGOfferingCOGSPLevel</f>
        <v>0</v>
      </c>
    </row>
    <row r="308" spans="1:7" ht="13.8">
      <c r="D308" s="629" t="s">
        <v>1764</v>
      </c>
      <c r="E308" s="579">
        <f t="shared" ref="E308" si="172">SUM(E302:E307)</f>
        <v>9.5</v>
      </c>
      <c r="F308" s="629" t="s">
        <v>2058</v>
      </c>
      <c r="G308" s="371"/>
    </row>
    <row r="309" spans="1:7" ht="13.8"/>
    <row r="310" spans="1:7" ht="13.8">
      <c r="D310" s="372" t="s">
        <v>886</v>
      </c>
      <c r="E310" s="579">
        <f t="shared" ref="E310" si="173">CalcProd2Seg2BaseCOGSPNewUnit</f>
        <v>9.5</v>
      </c>
      <c r="G310" s="371"/>
    </row>
    <row r="311" spans="1:7" ht="13.8">
      <c r="D311" s="372" t="s">
        <v>885</v>
      </c>
      <c r="E311" s="630">
        <f t="shared" ref="E311" si="174">CalcProd2Seg2DCExpNew/CalcProd2Seg2NewVolume</f>
        <v>0.31950097399227423</v>
      </c>
    </row>
    <row r="312" spans="1:7" s="399" customFormat="1" ht="2.1" customHeight="1">
      <c r="A312" s="402"/>
      <c r="B312" s="304"/>
      <c r="C312" s="372"/>
      <c r="D312" s="401"/>
      <c r="E312" s="401"/>
      <c r="F312" s="372"/>
      <c r="G312" s="400"/>
    </row>
    <row r="313" spans="1:7" s="370" customFormat="1" ht="16.8">
      <c r="A313" s="372"/>
      <c r="B313" s="372"/>
      <c r="C313" s="372"/>
      <c r="D313" s="372" t="s">
        <v>884</v>
      </c>
      <c r="E313" s="630">
        <f t="shared" ref="E313" si="175">SUM(E310:E311)</f>
        <v>9.819500973992275</v>
      </c>
      <c r="F313" s="372" t="s">
        <v>2059</v>
      </c>
      <c r="G313" s="372"/>
    </row>
    <row r="314" spans="1:7" s="370" customFormat="1" ht="16.8">
      <c r="A314" s="372"/>
      <c r="B314" s="372"/>
      <c r="C314" s="372"/>
      <c r="D314" s="372"/>
      <c r="E314" s="372"/>
      <c r="F314" s="372"/>
      <c r="G314" s="372"/>
    </row>
    <row r="315" spans="1:7" s="370" customFormat="1" ht="16.8">
      <c r="A315" s="372"/>
      <c r="B315" s="372"/>
      <c r="C315" s="372"/>
      <c r="D315" s="372" t="s">
        <v>883</v>
      </c>
      <c r="E315" s="631">
        <f t="shared" ref="E315" si="176">CalcProd2Seg2NewVolume*CalcProd2Seg2Prod2NewCOGSUnit</f>
        <v>24582778.267170478</v>
      </c>
      <c r="F315" s="629" t="s">
        <v>2060</v>
      </c>
      <c r="G315" s="372"/>
    </row>
    <row r="316" spans="1:7" ht="13.8"/>
    <row r="317" spans="1:7" ht="13.8">
      <c r="C317" s="393" t="s">
        <v>882</v>
      </c>
      <c r="E317" s="405"/>
    </row>
    <row r="318" spans="1:7" ht="13.8">
      <c r="D318" s="629" t="s">
        <v>1765</v>
      </c>
      <c r="E318" s="579">
        <f t="shared" ref="E318" si="177">obalProd2BaseRenewalCOGS</f>
        <v>8.5</v>
      </c>
      <c r="G318" s="371"/>
    </row>
    <row r="319" spans="1:7" ht="13.8">
      <c r="D319" s="629" t="s">
        <v>1761</v>
      </c>
      <c r="E319" s="630">
        <f t="shared" ref="E319" si="178">decEGSecurity*paramEGPlatformCOGSPLevel</f>
        <v>0</v>
      </c>
    </row>
    <row r="320" spans="1:7" ht="13.8">
      <c r="D320" s="629" t="s">
        <v>1762</v>
      </c>
      <c r="E320" s="630">
        <f t="shared" ref="E320" si="179">decEGInteroperability*paramEGPlatformCOGSPLevel</f>
        <v>0</v>
      </c>
    </row>
    <row r="321" spans="1:7" ht="13.8">
      <c r="D321" s="629" t="s">
        <v>1763</v>
      </c>
      <c r="E321" s="630">
        <f t="shared" ref="E321" si="180">decEGScalability*paramEGPlatformCOGSPLevel</f>
        <v>0</v>
      </c>
    </row>
    <row r="322" spans="1:7" ht="13.8">
      <c r="D322" s="629" t="str">
        <f>nmProd2Offering1&amp;" Investments"</f>
        <v>Azul Infrastructure Investments</v>
      </c>
      <c r="E322" s="630">
        <f t="shared" ref="E322" si="181">decEGProd2Offering1*paramEGOfferingCOGSPLevel</f>
        <v>0</v>
      </c>
    </row>
    <row r="323" spans="1:7" ht="13.8">
      <c r="D323" s="629" t="str">
        <f>nmProd2Offering2&amp;" Investments"</f>
        <v>Azul Data, Applications, and AI Investments</v>
      </c>
      <c r="E323" s="630">
        <f t="shared" ref="E323" si="182">decEGProd2Offering2*paramEGOfferingCOGSPLevel</f>
        <v>0</v>
      </c>
    </row>
    <row r="324" spans="1:7" ht="13.8">
      <c r="D324" s="629" t="s">
        <v>1764</v>
      </c>
      <c r="E324" s="579">
        <f t="shared" ref="E324" si="183">SUM(E318:E323)</f>
        <v>8.5</v>
      </c>
      <c r="F324" s="629" t="s">
        <v>2061</v>
      </c>
      <c r="G324" s="371"/>
    </row>
    <row r="325" spans="1:7" ht="13.8"/>
    <row r="326" spans="1:7" ht="13.8">
      <c r="D326" s="372" t="s">
        <v>881</v>
      </c>
      <c r="E326" s="579">
        <f t="shared" ref="E326" si="184">CalcProd2Seg2BaseCOGSPRenewalUnit</f>
        <v>8.5</v>
      </c>
      <c r="G326" s="371"/>
    </row>
    <row r="327" spans="1:7" ht="13.8">
      <c r="D327" s="372" t="s">
        <v>880</v>
      </c>
      <c r="E327" s="630">
        <f t="shared" ref="E327" si="185">CalcProd2Seg2DCExpRenewal/CalcProd2Seg2RenewalVolume</f>
        <v>0.31950097399227423</v>
      </c>
    </row>
    <row r="328" spans="1:7" s="399" customFormat="1" ht="2.1" customHeight="1">
      <c r="A328" s="402"/>
      <c r="B328" s="304"/>
      <c r="C328" s="372"/>
      <c r="D328" s="401"/>
      <c r="E328" s="401"/>
      <c r="F328" s="372"/>
      <c r="G328" s="400"/>
    </row>
    <row r="329" spans="1:7" s="370" customFormat="1" ht="16.8">
      <c r="A329" s="372"/>
      <c r="B329" s="372"/>
      <c r="C329" s="372"/>
      <c r="D329" s="372" t="s">
        <v>879</v>
      </c>
      <c r="E329" s="630">
        <f t="shared" ref="E329" si="186">SUM(E326:E327)</f>
        <v>8.819500973992275</v>
      </c>
      <c r="F329" s="372" t="s">
        <v>2062</v>
      </c>
      <c r="G329" s="372"/>
    </row>
    <row r="330" spans="1:7" s="370" customFormat="1" ht="16.8">
      <c r="A330" s="372"/>
      <c r="B330" s="372"/>
      <c r="C330" s="372"/>
      <c r="D330" s="372"/>
      <c r="E330" s="372"/>
      <c r="F330" s="372"/>
      <c r="G330" s="372"/>
    </row>
    <row r="331" spans="1:7" s="370" customFormat="1" ht="16.8">
      <c r="A331" s="372"/>
      <c r="B331" s="372"/>
      <c r="C331" s="372"/>
      <c r="D331" s="372" t="s">
        <v>878</v>
      </c>
      <c r="E331" s="631">
        <f t="shared" ref="E331" si="187">CalcProd2Seg2RenewalVolume*CalcProd2Seg2RenewalCOGSUnit</f>
        <v>15470031.956430117</v>
      </c>
      <c r="F331" s="372" t="s">
        <v>2063</v>
      </c>
      <c r="G331" s="372"/>
    </row>
    <row r="332" spans="1:7" s="370" customFormat="1" ht="16.8">
      <c r="A332" s="372"/>
      <c r="B332" s="372"/>
      <c r="C332" s="372"/>
      <c r="D332" s="372"/>
      <c r="E332" s="404"/>
      <c r="F332" s="372"/>
      <c r="G332" s="372"/>
    </row>
    <row r="333" spans="1:7" s="370" customFormat="1" ht="16.8">
      <c r="A333" s="372"/>
      <c r="B333" s="372"/>
      <c r="C333" s="393" t="s">
        <v>877</v>
      </c>
      <c r="D333" s="372"/>
      <c r="E333" s="373"/>
      <c r="F333" s="372"/>
      <c r="G333" s="372"/>
    </row>
    <row r="334" spans="1:7" s="370" customFormat="1" ht="16.8">
      <c r="A334" s="372"/>
      <c r="B334" s="372"/>
      <c r="C334" s="372"/>
      <c r="D334" s="372" t="str">
        <f>"From New "&amp;FinDefBookingsName</f>
        <v>From New Bookings</v>
      </c>
      <c r="E334" s="632">
        <f t="shared" ref="E334" si="188">finPNLProd2Seg2NewBookings*FinDefDeferralRate</f>
        <v>62586628.211250015</v>
      </c>
      <c r="F334" s="372"/>
      <c r="G334" s="372"/>
    </row>
    <row r="335" spans="1:7" s="370" customFormat="1" ht="16.8">
      <c r="A335" s="372"/>
      <c r="B335" s="372"/>
      <c r="C335" s="372"/>
      <c r="D335" s="372" t="str">
        <f>"From Renewal "&amp;FinDefBookingsName</f>
        <v>From Renewal Bookings</v>
      </c>
      <c r="E335" s="632">
        <f t="shared" ref="E335" si="189">finPNLProd2Seg2RenewalBookings*FinDefDeferralRate</f>
        <v>43851778.014565438</v>
      </c>
      <c r="F335" s="372"/>
      <c r="G335" s="372"/>
    </row>
    <row r="336" spans="1:7" s="399" customFormat="1" ht="2.1" customHeight="1">
      <c r="A336" s="402"/>
      <c r="B336" s="304"/>
      <c r="C336" s="372"/>
      <c r="D336" s="401"/>
      <c r="E336" s="633"/>
      <c r="F336" s="400"/>
      <c r="G336" s="400"/>
    </row>
    <row r="337" spans="1:7" s="370" customFormat="1" ht="16.8">
      <c r="A337" s="372"/>
      <c r="B337" s="372"/>
      <c r="C337" s="372"/>
      <c r="D337" s="372" t="s">
        <v>876</v>
      </c>
      <c r="E337" s="636">
        <f t="shared" ref="E337" si="190">SUM(E334:E335)</f>
        <v>106438406.22581545</v>
      </c>
      <c r="F337" s="372"/>
      <c r="G337" s="372"/>
    </row>
    <row r="338" spans="1:7" s="370" customFormat="1" ht="16.8">
      <c r="A338" s="372"/>
      <c r="B338" s="372"/>
      <c r="C338" s="372"/>
      <c r="D338" s="372"/>
      <c r="E338" s="372"/>
      <c r="F338" s="372"/>
      <c r="G338" s="372"/>
    </row>
    <row r="339" spans="1:7" s="370" customFormat="1" ht="16.8">
      <c r="A339" s="372"/>
      <c r="B339" s="372"/>
      <c r="C339" s="372"/>
      <c r="D339" s="372" t="s">
        <v>838</v>
      </c>
      <c r="E339" s="637">
        <f t="shared" ref="E339" si="191">IF(FinDefContractLength=1,0,obalProd2Seg2DefRev)</f>
        <v>63558476.180858158</v>
      </c>
      <c r="F339" s="372"/>
      <c r="G339" s="371"/>
    </row>
    <row r="340" spans="1:7" s="370" customFormat="1" ht="16.8">
      <c r="A340" s="372"/>
      <c r="B340" s="372"/>
      <c r="C340" s="372"/>
      <c r="D340" s="372" t="s">
        <v>875</v>
      </c>
      <c r="E340" s="632">
        <f t="shared" ref="E340" si="192">finPNLProd2Seg2RevFromDef*-1</f>
        <v>-63558476.180858158</v>
      </c>
      <c r="F340" s="372"/>
      <c r="G340" s="372"/>
    </row>
    <row r="341" spans="1:7" s="370" customFormat="1" ht="16.8">
      <c r="A341" s="372"/>
      <c r="B341" s="372"/>
      <c r="C341" s="372"/>
      <c r="D341" s="372" t="s">
        <v>874</v>
      </c>
      <c r="E341" s="632">
        <f t="shared" ref="E341" si="193">E337</f>
        <v>106438406.22581545</v>
      </c>
      <c r="F341" s="372"/>
      <c r="G341" s="372"/>
    </row>
    <row r="342" spans="1:7" s="399" customFormat="1" ht="2.1" customHeight="1">
      <c r="A342" s="402"/>
      <c r="B342" s="304"/>
      <c r="C342" s="372"/>
      <c r="D342" s="401"/>
      <c r="E342" s="633"/>
      <c r="F342" s="400"/>
      <c r="G342" s="400"/>
    </row>
    <row r="343" spans="1:7" s="370" customFormat="1" ht="16.8">
      <c r="A343" s="372"/>
      <c r="B343" s="372"/>
      <c r="C343" s="372"/>
      <c r="D343" s="372" t="s">
        <v>873</v>
      </c>
      <c r="E343" s="636">
        <f t="shared" ref="E343" si="194">SUM(E339:E341)</f>
        <v>106438406.22581545</v>
      </c>
      <c r="F343" s="629" t="s">
        <v>2064</v>
      </c>
      <c r="G343" s="371" t="s">
        <v>1512</v>
      </c>
    </row>
    <row r="344" spans="1:7" s="370" customFormat="1" ht="16.8">
      <c r="A344" s="372"/>
      <c r="B344" s="372"/>
      <c r="C344" s="372"/>
      <c r="D344" s="372"/>
      <c r="E344" s="372"/>
      <c r="F344" s="372"/>
      <c r="G344" s="371"/>
    </row>
    <row r="345" spans="1:7" s="580" customFormat="1" ht="13.8">
      <c r="B345" s="581" t="s">
        <v>871</v>
      </c>
      <c r="C345" s="582"/>
      <c r="D345" s="582"/>
      <c r="E345" s="582"/>
    </row>
    <row r="346" spans="1:7" ht="13.8"/>
    <row r="347" spans="1:7" ht="13.8">
      <c r="C347" s="393" t="s">
        <v>870</v>
      </c>
    </row>
    <row r="348" spans="1:7" ht="13.8">
      <c r="D348" s="372" t="s">
        <v>869</v>
      </c>
      <c r="E348" s="403">
        <f t="shared" ref="E348" si="195">calcDataCenterOpex</f>
        <v>0</v>
      </c>
      <c r="G348" s="371"/>
    </row>
    <row r="349" spans="1:7" ht="13.8">
      <c r="D349" s="372" t="s">
        <v>868</v>
      </c>
      <c r="E349" s="397">
        <f t="shared" ref="E349" si="196">(calcDataCenterCapex+obalOpsDataCenterValue)*FinDefDCDepRate</f>
        <v>4000000</v>
      </c>
      <c r="G349" s="371"/>
    </row>
    <row r="350" spans="1:7" s="399" customFormat="1" ht="2.1" customHeight="1">
      <c r="A350" s="402"/>
      <c r="B350" s="304"/>
      <c r="C350" s="372"/>
      <c r="D350" s="401"/>
      <c r="E350" s="401"/>
      <c r="F350" s="372"/>
      <c r="G350" s="400"/>
    </row>
    <row r="351" spans="1:7" ht="13.8">
      <c r="D351" s="372" t="s">
        <v>867</v>
      </c>
      <c r="E351" s="397">
        <f t="shared" ref="E351" si="197">SUM(E348:E349)</f>
        <v>4000000</v>
      </c>
      <c r="F351" s="629" t="s">
        <v>2065</v>
      </c>
    </row>
    <row r="352" spans="1:7" ht="13.8"/>
    <row r="353" spans="1:7" ht="13.8">
      <c r="C353" s="393" t="str">
        <f>"Allocation (by "&amp;FinDefBookingsName&amp;")"</f>
        <v>Allocation (by Bookings)</v>
      </c>
    </row>
    <row r="354" spans="1:7" ht="13.8">
      <c r="D354" s="398" t="str">
        <f>nmProd1Seg1&amp; " New"</f>
        <v>Productivity &amp; Business Enterprise New</v>
      </c>
      <c r="E354" s="397">
        <f t="shared" ref="E354" si="198">(finPNLProd1Seg1NewBookings/finPNLTotalBookings)*CalcTotalDCExp</f>
        <v>210125.91098560125</v>
      </c>
      <c r="F354" s="372" t="s">
        <v>2066</v>
      </c>
    </row>
    <row r="355" spans="1:7" ht="13.8">
      <c r="D355" s="398" t="str">
        <f>nmProd1Seg1&amp; " Renewal"</f>
        <v>Productivity &amp; Business Enterprise Renewal</v>
      </c>
      <c r="E355" s="397">
        <f t="shared" ref="E355" si="199">(CalcProd1Seg1RenewalVolume/finPNLTotalBookings)*CalcTotalDCExp</f>
        <v>23265.591333314802</v>
      </c>
      <c r="F355" s="372" t="s">
        <v>2067</v>
      </c>
    </row>
    <row r="356" spans="1:7" ht="13.8">
      <c r="D356" s="398" t="str">
        <f>nmProd1Seg2&amp; " New"</f>
        <v>Productivity &amp; Business SMC New</v>
      </c>
      <c r="E356" s="397">
        <f t="shared" ref="E356" si="200">(finPNLProd1Seg2NewBookings/finPNLTotalBookings)*CalcTotalDCExp</f>
        <v>145971.75476744989</v>
      </c>
      <c r="F356" s="372" t="s">
        <v>2068</v>
      </c>
    </row>
    <row r="357" spans="1:7" ht="13.8">
      <c r="D357" s="398" t="str">
        <f>nmProd1Seg2&amp; " Renewal"</f>
        <v>Productivity &amp; Business SMC Renewal</v>
      </c>
      <c r="E357" s="397">
        <f t="shared" ref="E357" si="201">(CalcProd1Seg2RenewalVolume/finPNLTotalBookings)*CalcTotalDCExp</f>
        <v>14143.186747250063</v>
      </c>
      <c r="F357" s="372" t="s">
        <v>2069</v>
      </c>
    </row>
    <row r="358" spans="1:7" ht="13.8">
      <c r="D358" s="398" t="str">
        <f>nmProd1Seg3&amp; " New"</f>
        <v>Productivity &amp; Business Consumer New</v>
      </c>
      <c r="E358" s="397">
        <f t="shared" ref="E358" si="202">(finPNLProd1Seg3NewBookings/finPNLTotalBookings)*CalcTotalDCExp</f>
        <v>123288.19517317614</v>
      </c>
      <c r="F358" s="372" t="s">
        <v>2070</v>
      </c>
    </row>
    <row r="359" spans="1:7" ht="13.8">
      <c r="D359" s="398" t="str">
        <f>nmProd1Seg3&amp; " Renewal"</f>
        <v>Productivity &amp; Business Consumer Renewal</v>
      </c>
      <c r="E359" s="397">
        <f t="shared" ref="E359" si="203">(CalcProd1Seg3RenewalVolume/finPNLTotalBookings)*CalcTotalDCExp</f>
        <v>37632.614240635041</v>
      </c>
      <c r="F359" s="372" t="s">
        <v>2071</v>
      </c>
    </row>
    <row r="360" spans="1:7" ht="13.8">
      <c r="D360" s="398" t="str">
        <f>nmProd2Seg1&amp; " New"</f>
        <v>Intelligent Cloud Enterprise New</v>
      </c>
      <c r="E360" s="397">
        <f t="shared" ref="E360" si="204">(finPNLProd2Seg1NewBookings/finPNLTotalBookings)*CalcTotalDCExp</f>
        <v>521089.03732561908</v>
      </c>
      <c r="F360" s="372" t="s">
        <v>2072</v>
      </c>
    </row>
    <row r="361" spans="1:7" ht="13.8">
      <c r="D361" s="398" t="str">
        <f>nmProd2Seg1&amp; " Renewal"</f>
        <v>Intelligent Cloud Enterprise Renewal</v>
      </c>
      <c r="E361" s="397">
        <f t="shared" ref="E361" si="205">(finPNLProd2Seg1RenewalBookings/finPNLTotalBookings)*CalcTotalDCExp</f>
        <v>513617.2385568202</v>
      </c>
      <c r="F361" s="372" t="s">
        <v>2073</v>
      </c>
    </row>
    <row r="362" spans="1:7" ht="13.8">
      <c r="D362" s="398" t="str">
        <f>nmProd2Seg2&amp; " New"</f>
        <v>Intelligent Cloud SMC New</v>
      </c>
      <c r="E362" s="397">
        <f t="shared" ref="E362" si="206">(finPNLProd2Seg2NewBookings/finPNLTotalBookings)*CalcTotalDCExp</f>
        <v>799859.54689546907</v>
      </c>
      <c r="F362" s="372" t="s">
        <v>2074</v>
      </c>
    </row>
    <row r="363" spans="1:7" ht="13.8">
      <c r="D363" s="398" t="str">
        <f>nmProd2Seg2&amp; " Renewal"</f>
        <v>Intelligent Cloud SMC Renewal</v>
      </c>
      <c r="E363" s="397">
        <f t="shared" ref="E363" si="207">(finPNLProd2Seg2RenewalBookings/finPNLTotalBookings)*CalcTotalDCExp</f>
        <v>560427.43147786625</v>
      </c>
      <c r="F363" s="372" t="s">
        <v>2075</v>
      </c>
    </row>
    <row r="365" spans="1:7" s="580" customFormat="1" ht="13.8">
      <c r="B365" s="581" t="s">
        <v>399</v>
      </c>
      <c r="C365" s="582"/>
      <c r="D365" s="582"/>
      <c r="E365" s="582"/>
    </row>
    <row r="367" spans="1:7" s="370" customFormat="1" ht="16.8">
      <c r="A367" s="372"/>
      <c r="B367" s="372"/>
      <c r="C367" s="372"/>
      <c r="D367" s="372" t="str">
        <f>nmProd1Seg1 &amp; " Cloud Subcriptions"</f>
        <v>Productivity &amp; Business Enterprise Cloud Subcriptions</v>
      </c>
      <c r="E367" s="397">
        <f t="shared" ref="E367" si="208">CalcProd1Seg1NewVolume+CalcProd1Seg1RenewalVolume</f>
        <v>5833156.7715225276</v>
      </c>
      <c r="F367" s="372"/>
      <c r="G367" s="372"/>
    </row>
    <row r="368" spans="1:7" ht="12.75" customHeight="1">
      <c r="D368" s="372" t="str">
        <f>nmProd1Seg2 &amp; " Cloud Subcriptions"</f>
        <v>Productivity &amp; Business SMC Cloud Subcriptions</v>
      </c>
      <c r="E368" s="397">
        <f t="shared" ref="E368" si="209">CalcProd1Seg2NewVolume+CalcProd1Seg2RenewalVolume</f>
        <v>3736238.5420548613</v>
      </c>
    </row>
    <row r="369" spans="1:7" ht="12.75" customHeight="1">
      <c r="D369" s="372" t="str">
        <f>nmProd1Seg3 &amp; " Cloud Subcriptions"</f>
        <v>Productivity &amp; Business Consumer Cloud Subcriptions</v>
      </c>
      <c r="E369" s="397">
        <f t="shared" ref="E369" si="210">CalcProd1Seg3NewVolume+CalcProd1Seg3RenewalVolume</f>
        <v>7175537.9458231088</v>
      </c>
    </row>
    <row r="370" spans="1:7" ht="12.75" customHeight="1">
      <c r="D370" s="372" t="str">
        <f>nmProd2Seg1 &amp; " Cloud Subcriptions"</f>
        <v>Intelligent Cloud Enterprise Cloud Subcriptions</v>
      </c>
      <c r="E370" s="397">
        <f t="shared" ref="E370" si="211">CalcProd2Seg1TotalVolume</f>
        <v>3238507.4228520477</v>
      </c>
    </row>
    <row r="371" spans="1:7" ht="12.75" customHeight="1">
      <c r="D371" s="372" t="str">
        <f>nmProd2Seg2 &amp; " Cloud Subcriptions"</f>
        <v>Intelligent Cloud SMC Cloud Subcriptions</v>
      </c>
      <c r="E371" s="397">
        <f t="shared" ref="E371" si="212">CalcProd2Seg2TotalVolume</f>
        <v>4257536.2490326185</v>
      </c>
    </row>
    <row r="372" spans="1:7" ht="12.75" customHeight="1">
      <c r="D372" s="393" t="s">
        <v>1656</v>
      </c>
      <c r="E372" s="704">
        <f>SUM(E367:E371)</f>
        <v>24240976.931285165</v>
      </c>
      <c r="F372" s="629" t="s">
        <v>2076</v>
      </c>
    </row>
    <row r="373" spans="1:7" ht="12.75" customHeight="1">
      <c r="E373" s="405"/>
    </row>
    <row r="374" spans="1:7" s="370" customFormat="1" ht="16.8">
      <c r="A374" s="372"/>
      <c r="B374" s="372"/>
      <c r="C374" s="372"/>
      <c r="D374" s="372" t="str">
        <f>nmProd1Seg1 &amp; " Total Subcriptions"</f>
        <v>Productivity &amp; Business Enterprise Total Subcriptions</v>
      </c>
      <c r="E374" s="397">
        <f t="shared" ref="E374" si="213">CalcProd1Seg1TotalVolume</f>
        <v>8675556.7715225276</v>
      </c>
      <c r="F374" s="372"/>
      <c r="G374" s="372"/>
    </row>
    <row r="375" spans="1:7" ht="12.75" customHeight="1">
      <c r="D375" s="372" t="str">
        <f>nmProd1Seg2 &amp; " Total Subcriptions"</f>
        <v>Productivity &amp; Business SMC Total Subcriptions</v>
      </c>
      <c r="E375" s="397">
        <f t="shared" ref="E375" si="214">CalcProd1Seg2TotalVolume</f>
        <v>5512738.5420548618</v>
      </c>
    </row>
    <row r="376" spans="1:7" ht="12.75" customHeight="1">
      <c r="D376" s="372" t="str">
        <f>nmProd1Seg3 &amp; " Total Subcriptions"</f>
        <v>Productivity &amp; Business Consumer Total Subcriptions</v>
      </c>
      <c r="E376" s="397">
        <f t="shared" ref="E376" si="215">CalcProd1Seg3TotalVolume</f>
        <v>7175537.9458231088</v>
      </c>
    </row>
    <row r="377" spans="1:7" ht="12.75" customHeight="1">
      <c r="D377" s="372" t="str">
        <f>nmProd2Seg1 &amp; " Total Subcriptions"</f>
        <v>Intelligent Cloud Enterprise Total Subcriptions</v>
      </c>
      <c r="E377" s="397">
        <f t="shared" ref="E377" si="216">CalcProd2Seg1TotalVolume</f>
        <v>3238507.4228520477</v>
      </c>
    </row>
    <row r="378" spans="1:7" ht="12.75" customHeight="1">
      <c r="D378" s="372" t="str">
        <f>nmProd2Seg2 &amp; " Total Subcriptions"</f>
        <v>Intelligent Cloud SMC Total Subcriptions</v>
      </c>
      <c r="E378" s="397">
        <f t="shared" ref="E378" si="217">CalcProd2Seg2TotalVolume</f>
        <v>4257536.2490326185</v>
      </c>
    </row>
    <row r="379" spans="1:7" ht="12.75" customHeight="1">
      <c r="D379" s="393" t="s">
        <v>1657</v>
      </c>
      <c r="E379" s="704">
        <f>SUM(E374:E378)</f>
        <v>28859876.931285165</v>
      </c>
      <c r="F379" s="629" t="s">
        <v>2077</v>
      </c>
    </row>
    <row r="381" spans="1:7" ht="12.75" customHeight="1">
      <c r="D381" s="393" t="s">
        <v>399</v>
      </c>
      <c r="E381" s="705">
        <f t="shared" ref="E381" si="218">CalcTotalCloudSubs/CalcTotalSubs</f>
        <v>0.83995427246632004</v>
      </c>
      <c r="F381" s="629" t="s">
        <v>2078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2"/>
  </sheetPr>
  <dimension ref="A1:M290"/>
  <sheetViews>
    <sheetView topLeftCell="A273" workbookViewId="0">
      <selection activeCell="E295" sqref="E295"/>
    </sheetView>
  </sheetViews>
  <sheetFormatPr defaultColWidth="15.26953125" defaultRowHeight="12.75" customHeight="1"/>
  <cols>
    <col min="1" max="2" width="2.36328125" style="372" customWidth="1"/>
    <col min="3" max="3" width="2.7265625" style="372" customWidth="1"/>
    <col min="4" max="4" width="26" style="372" customWidth="1"/>
    <col min="5" max="5" width="20" style="372" customWidth="1"/>
    <col min="6" max="6" width="20.453125" style="372" customWidth="1"/>
    <col min="7" max="7" width="7.453125" style="372" customWidth="1"/>
    <col min="8" max="16384" width="15.26953125" style="372"/>
  </cols>
  <sheetData>
    <row r="1" spans="1:13" s="874" customFormat="1" ht="16.2">
      <c r="A1" s="873" t="s">
        <v>459</v>
      </c>
      <c r="B1" s="873"/>
      <c r="E1" s="874" t="s">
        <v>7</v>
      </c>
      <c r="G1" s="875"/>
      <c r="H1" s="875"/>
      <c r="I1" s="875"/>
      <c r="J1" s="875"/>
      <c r="L1" s="873"/>
    </row>
    <row r="2" spans="1:13" s="874" customFormat="1" ht="16.2">
      <c r="A2" s="876" t="s">
        <v>2630</v>
      </c>
      <c r="B2" s="873"/>
      <c r="E2" s="874" t="b">
        <f>xxNumOfTeams&gt;0</f>
        <v>1</v>
      </c>
      <c r="F2" s="873" t="s">
        <v>2637</v>
      </c>
      <c r="G2" s="875"/>
      <c r="H2" s="875"/>
      <c r="I2" s="875"/>
      <c r="J2" s="875"/>
      <c r="L2" s="873"/>
    </row>
    <row r="3" spans="1:13" s="673" customFormat="1" ht="13.8">
      <c r="A3" s="673" t="s">
        <v>890</v>
      </c>
      <c r="E3" s="674"/>
    </row>
    <row r="4" spans="1:13" s="675" customFormat="1" ht="16.8">
      <c r="A4" s="372"/>
      <c r="B4" s="372"/>
      <c r="C4" s="372"/>
      <c r="D4" s="372"/>
      <c r="E4" s="373"/>
      <c r="F4" s="372"/>
      <c r="G4" s="372"/>
    </row>
    <row r="5" spans="1:13" s="676" customFormat="1" ht="13.8">
      <c r="B5" s="581" t="str">
        <f>nmProd1Seg1</f>
        <v>Productivity &amp; Business Enterprise</v>
      </c>
      <c r="C5" s="677"/>
      <c r="D5" s="677"/>
      <c r="E5" s="678"/>
    </row>
    <row r="6" spans="1:13" ht="13.8">
      <c r="B6" s="393"/>
    </row>
    <row r="7" spans="1:13" ht="13.8">
      <c r="B7" s="393" t="s">
        <v>2540</v>
      </c>
    </row>
    <row r="8" spans="1:13" s="284" customFormat="1" ht="13.8">
      <c r="A8" s="372"/>
      <c r="D8" s="284" t="s">
        <v>788</v>
      </c>
      <c r="E8" s="679">
        <v>0.05</v>
      </c>
    </row>
    <row r="9" spans="1:13" s="284" customFormat="1" ht="13.8">
      <c r="A9" s="372"/>
      <c r="D9" s="284" t="s">
        <v>787</v>
      </c>
      <c r="E9" s="681">
        <f>SUM(M13:M14)</f>
        <v>0.01</v>
      </c>
      <c r="J9" s="682"/>
      <c r="K9" s="682"/>
      <c r="L9" s="682"/>
      <c r="M9" s="682"/>
    </row>
    <row r="10" spans="1:13" s="284" customFormat="1" ht="13.8">
      <c r="A10" s="372"/>
      <c r="E10" s="366"/>
      <c r="I10" s="680"/>
      <c r="M10" s="683"/>
    </row>
    <row r="11" spans="1:13" s="284" customFormat="1" ht="13.8">
      <c r="A11" s="372"/>
      <c r="C11" s="684"/>
      <c r="D11" s="684"/>
      <c r="E11" s="690" t="s">
        <v>7</v>
      </c>
    </row>
    <row r="12" spans="1:13" s="284" customFormat="1" ht="13.8">
      <c r="A12" s="372"/>
      <c r="D12" s="684" t="s">
        <v>785</v>
      </c>
      <c r="E12" s="319">
        <f t="shared" ref="E12" si="0">obalProd1Seg1ServicesAttachRate</f>
        <v>0.4</v>
      </c>
      <c r="F12" s="366"/>
      <c r="H12" s="284" t="s">
        <v>784</v>
      </c>
    </row>
    <row r="13" spans="1:13" s="284" customFormat="1" ht="13.8">
      <c r="A13" s="372"/>
      <c r="D13" s="707" t="s">
        <v>2541</v>
      </c>
      <c r="E13" s="736">
        <f t="shared" ref="E13" si="1">((cbalCommercialServicesFTEs-obalCommercialServicesFTEs)/100)*$H13</f>
        <v>0</v>
      </c>
      <c r="H13" s="686">
        <v>0.01</v>
      </c>
      <c r="I13" s="284" t="s">
        <v>783</v>
      </c>
      <c r="J13" s="284" t="s">
        <v>782</v>
      </c>
      <c r="K13" s="284" t="s">
        <v>781</v>
      </c>
      <c r="L13" s="284" t="s">
        <v>780</v>
      </c>
      <c r="M13" s="284" t="s">
        <v>779</v>
      </c>
    </row>
    <row r="14" spans="1:13" s="284" customFormat="1" ht="13.8">
      <c r="A14" s="372"/>
      <c r="D14" s="708" t="s">
        <v>466</v>
      </c>
      <c r="E14" s="735">
        <f t="shared" ref="E14" si="2">INDEX($H14:$M14,decCommercialSkill2+1)</f>
        <v>-0.01</v>
      </c>
      <c r="H14" s="685">
        <v>-0.01</v>
      </c>
      <c r="I14" s="686">
        <v>-5.0000000000000001E-3</v>
      </c>
      <c r="J14" s="686">
        <v>0</v>
      </c>
      <c r="K14" s="686">
        <v>2.5000000000000001E-3</v>
      </c>
      <c r="L14" s="686">
        <v>5.0000000000000001E-3</v>
      </c>
      <c r="M14" s="686">
        <v>0.01</v>
      </c>
    </row>
    <row r="15" spans="1:13" s="284" customFormat="1" ht="13.8">
      <c r="A15" s="372"/>
      <c r="D15" s="684" t="s">
        <v>778</v>
      </c>
      <c r="E15" s="687"/>
      <c r="F15" s="284" t="s">
        <v>2529</v>
      </c>
    </row>
    <row r="16" spans="1:13" s="689" customFormat="1" ht="2.1" customHeight="1">
      <c r="A16" s="372"/>
      <c r="B16" s="284"/>
      <c r="D16" s="688"/>
      <c r="E16" s="688"/>
      <c r="H16" s="284"/>
      <c r="I16" s="284"/>
      <c r="J16" s="284"/>
      <c r="K16" s="284"/>
      <c r="L16" s="284"/>
      <c r="M16" s="284"/>
    </row>
    <row r="17" spans="1:7" s="284" customFormat="1" ht="13.8">
      <c r="A17" s="372"/>
      <c r="D17" s="694" t="s">
        <v>777</v>
      </c>
      <c r="E17" s="695">
        <f t="shared" ref="E17" si="3">IF(xxRound=0,E12,SUM(E12:E15))</f>
        <v>0.39</v>
      </c>
      <c r="F17" s="284" t="s">
        <v>2530</v>
      </c>
    </row>
    <row r="18" spans="1:7" ht="13.8"/>
    <row r="19" spans="1:7" ht="13.8">
      <c r="B19" s="393" t="s">
        <v>117</v>
      </c>
    </row>
    <row r="20" spans="1:7" ht="13.8">
      <c r="C20" s="371" t="s">
        <v>1597</v>
      </c>
    </row>
    <row r="21" spans="1:7" ht="13.8">
      <c r="D21" s="372" t="s">
        <v>1612</v>
      </c>
      <c r="E21" s="403">
        <f t="shared" ref="E21" si="4">cbalProd1Seg1NewCustomers</f>
        <v>219.22302600000026</v>
      </c>
      <c r="G21" s="371"/>
    </row>
    <row r="22" spans="1:7" ht="13.8">
      <c r="D22" s="372" t="s">
        <v>771</v>
      </c>
      <c r="E22" s="668">
        <f t="shared" ref="E22" si="5">calcServicesProd1Seg1Attach</f>
        <v>0.39</v>
      </c>
      <c r="G22" s="371"/>
    </row>
    <row r="23" spans="1:7" ht="13.8">
      <c r="D23" s="629" t="s">
        <v>2193</v>
      </c>
      <c r="E23" s="669">
        <f t="shared" ref="E23" si="6">IF(xxRound=0,obalProd1Seg1NewServicesCust,ROUND((E21*E22),0))</f>
        <v>85</v>
      </c>
      <c r="F23" s="372" t="s">
        <v>2551</v>
      </c>
    </row>
    <row r="25" spans="1:7" ht="12.75" customHeight="1">
      <c r="D25" s="629" t="s">
        <v>188</v>
      </c>
      <c r="E25" s="637">
        <f t="shared" ref="E25" si="7">paramServicesPrice</f>
        <v>15000</v>
      </c>
    </row>
    <row r="27" spans="1:7" ht="12.75" customHeight="1">
      <c r="D27" s="393" t="s">
        <v>117</v>
      </c>
      <c r="E27" s="693">
        <f t="shared" ref="E27" si="8">calcServicesProd1Seg1NewContracts*E25</f>
        <v>1275000</v>
      </c>
      <c r="F27" s="372" t="s">
        <v>2550</v>
      </c>
    </row>
    <row r="29" spans="1:7" ht="13.8">
      <c r="B29" s="393" t="s">
        <v>898</v>
      </c>
      <c r="C29" s="393"/>
    </row>
    <row r="30" spans="1:7" ht="13.8">
      <c r="D30" s="372" t="s">
        <v>886</v>
      </c>
      <c r="E30" s="637">
        <f t="shared" ref="E30" si="9">paramServicesCOGS</f>
        <v>4500</v>
      </c>
      <c r="G30" s="371"/>
    </row>
    <row r="31" spans="1:7" s="399" customFormat="1" ht="2.1" customHeight="1">
      <c r="A31" s="402"/>
      <c r="B31" s="304"/>
      <c r="C31" s="372"/>
      <c r="D31" s="401"/>
      <c r="E31" s="401"/>
      <c r="F31" s="372"/>
      <c r="G31" s="400"/>
    </row>
    <row r="32" spans="1:7" s="370" customFormat="1" ht="16.8">
      <c r="A32" s="372"/>
      <c r="B32" s="372"/>
      <c r="C32" s="372"/>
      <c r="D32" s="372" t="s">
        <v>884</v>
      </c>
      <c r="E32" s="631">
        <f t="shared" ref="E32" si="10">SUM(E30:E30)</f>
        <v>4500</v>
      </c>
      <c r="F32" s="629" t="s">
        <v>2548</v>
      </c>
      <c r="G32" s="372"/>
    </row>
    <row r="34" spans="1:13" ht="12.75" customHeight="1">
      <c r="D34" s="393" t="s">
        <v>2531</v>
      </c>
      <c r="E34" s="693">
        <f t="shared" ref="E34" si="11">calcServicesProd1Seg1NewContracts*E32</f>
        <v>382500</v>
      </c>
      <c r="F34" s="629" t="s">
        <v>2549</v>
      </c>
    </row>
    <row r="35" spans="1:13" ht="13.8">
      <c r="B35" s="393"/>
    </row>
    <row r="36" spans="1:13" ht="13.8">
      <c r="B36" s="393" t="s">
        <v>888</v>
      </c>
    </row>
    <row r="37" spans="1:13" s="284" customFormat="1" ht="13.8">
      <c r="A37" s="372"/>
      <c r="D37" s="284" t="s">
        <v>788</v>
      </c>
      <c r="E37" s="679">
        <v>0.05</v>
      </c>
    </row>
    <row r="38" spans="1:13" s="284" customFormat="1" ht="13.8">
      <c r="A38" s="372"/>
      <c r="D38" s="284" t="s">
        <v>787</v>
      </c>
      <c r="E38" s="681">
        <f>SUM(M42:M43)</f>
        <v>0.01</v>
      </c>
      <c r="J38" s="682"/>
      <c r="K38" s="682"/>
      <c r="L38" s="682"/>
      <c r="M38" s="682"/>
    </row>
    <row r="39" spans="1:13" s="284" customFormat="1" ht="13.8">
      <c r="A39" s="372"/>
      <c r="E39" s="366"/>
      <c r="I39" s="680"/>
      <c r="M39" s="683"/>
    </row>
    <row r="40" spans="1:13" s="284" customFormat="1" ht="13.8">
      <c r="A40" s="372"/>
      <c r="C40" s="684"/>
      <c r="D40" s="684"/>
      <c r="E40" s="690" t="s">
        <v>7</v>
      </c>
    </row>
    <row r="41" spans="1:13" s="284" customFormat="1" ht="13.8">
      <c r="A41" s="372"/>
      <c r="C41" s="684" t="s">
        <v>791</v>
      </c>
      <c r="D41" s="684"/>
      <c r="E41" s="319">
        <f t="shared" ref="E41" si="12">obalProd1Seg1ServicesRenRate</f>
        <v>0.75</v>
      </c>
      <c r="F41" s="366"/>
      <c r="H41" s="284" t="s">
        <v>784</v>
      </c>
      <c r="I41" s="284" t="s">
        <v>783</v>
      </c>
      <c r="J41" s="284" t="s">
        <v>782</v>
      </c>
      <c r="K41" s="284" t="s">
        <v>781</v>
      </c>
      <c r="L41" s="284" t="s">
        <v>780</v>
      </c>
      <c r="M41" s="284" t="s">
        <v>779</v>
      </c>
    </row>
    <row r="42" spans="1:13" s="284" customFormat="1" ht="13.8">
      <c r="A42" s="372"/>
      <c r="D42" s="707" t="s">
        <v>1782</v>
      </c>
      <c r="E42" s="736">
        <f t="shared" ref="E42" si="13">((cbalCommercialServicesFTEs-obalCommercialServicesFTEs)/100)*$H42</f>
        <v>0</v>
      </c>
      <c r="H42" s="686">
        <v>0.01</v>
      </c>
      <c r="I42" s="284" t="s">
        <v>783</v>
      </c>
      <c r="J42" s="284" t="s">
        <v>782</v>
      </c>
      <c r="K42" s="284" t="s">
        <v>781</v>
      </c>
      <c r="L42" s="284" t="s">
        <v>780</v>
      </c>
      <c r="M42" s="284" t="s">
        <v>779</v>
      </c>
    </row>
    <row r="43" spans="1:13" s="284" customFormat="1" ht="13.8">
      <c r="A43" s="372"/>
      <c r="D43" s="708" t="s">
        <v>465</v>
      </c>
      <c r="E43" s="735">
        <f t="shared" ref="E43" si="14">INDEX($H43:$M43,decCommercialSkill1+1)</f>
        <v>-0.01</v>
      </c>
      <c r="H43" s="685">
        <v>-0.01</v>
      </c>
      <c r="I43" s="686">
        <v>-5.0000000000000001E-3</v>
      </c>
      <c r="J43" s="686">
        <v>0</v>
      </c>
      <c r="K43" s="686">
        <v>2.5000000000000001E-3</v>
      </c>
      <c r="L43" s="686">
        <v>5.0000000000000001E-3</v>
      </c>
      <c r="M43" s="686">
        <v>0.01</v>
      </c>
    </row>
    <row r="44" spans="1:13" s="284" customFormat="1" ht="13.8">
      <c r="A44" s="372"/>
      <c r="D44" s="684" t="s">
        <v>778</v>
      </c>
      <c r="E44" s="696"/>
      <c r="F44" s="284" t="s">
        <v>2546</v>
      </c>
    </row>
    <row r="45" spans="1:13" s="689" customFormat="1" ht="2.1" customHeight="1">
      <c r="A45" s="372"/>
      <c r="B45" s="284"/>
      <c r="D45" s="688"/>
      <c r="E45" s="688"/>
      <c r="H45" s="284"/>
      <c r="I45" s="284"/>
      <c r="J45" s="284"/>
      <c r="K45" s="284"/>
      <c r="L45" s="284"/>
      <c r="M45" s="284"/>
    </row>
    <row r="46" spans="1:13" s="284" customFormat="1" ht="13.8">
      <c r="A46" s="372"/>
      <c r="D46" s="691" t="s">
        <v>770</v>
      </c>
      <c r="E46" s="692">
        <f t="shared" ref="E46" si="15">IF(xxRound=0,E41,SUM(E41:E44))</f>
        <v>0.74</v>
      </c>
      <c r="F46" s="284" t="s">
        <v>2547</v>
      </c>
    </row>
    <row r="47" spans="1:13" ht="13.8"/>
    <row r="48" spans="1:13" ht="13.8">
      <c r="B48" s="393" t="s">
        <v>1613</v>
      </c>
    </row>
    <row r="49" spans="1:7" ht="13.8">
      <c r="C49" s="371" t="s">
        <v>2194</v>
      </c>
    </row>
    <row r="50" spans="1:7" ht="13.8">
      <c r="D50" s="372" t="s">
        <v>1612</v>
      </c>
      <c r="E50" s="403">
        <f t="shared" ref="E50" si="16">obalProd1Seg1TotalServicesCust</f>
        <v>527.71347351524867</v>
      </c>
      <c r="G50" s="371"/>
    </row>
    <row r="51" spans="1:7" ht="13.8">
      <c r="D51" s="372" t="s">
        <v>772</v>
      </c>
      <c r="E51" s="668">
        <f t="shared" ref="E51" si="17">calcServicesProd1Seg1Renewal</f>
        <v>0.74</v>
      </c>
      <c r="G51" s="371"/>
    </row>
    <row r="52" spans="1:7" ht="13.8">
      <c r="D52" s="629" t="s">
        <v>2195</v>
      </c>
      <c r="E52" s="669">
        <f t="shared" ref="E52" si="18">IF(xxRound=0,obalProd1Seg1RenewedServicesCust,ROUND((E50*E51),0))</f>
        <v>391</v>
      </c>
      <c r="F52" s="629" t="s">
        <v>2552</v>
      </c>
    </row>
    <row r="54" spans="1:7" ht="12.75" customHeight="1">
      <c r="D54" s="372" t="s">
        <v>1614</v>
      </c>
      <c r="E54" s="637">
        <f t="shared" ref="E54" si="19">paramServicesPrice</f>
        <v>15000</v>
      </c>
    </row>
    <row r="55" spans="1:7" ht="12.75" customHeight="1">
      <c r="E55" s="672"/>
    </row>
    <row r="56" spans="1:7" ht="12.75" customHeight="1">
      <c r="D56" s="372" t="s">
        <v>1613</v>
      </c>
      <c r="E56" s="671">
        <f t="shared" ref="E56" si="20">calcServicesProd1Seg1RenewalContracts*E54</f>
        <v>5865000</v>
      </c>
      <c r="F56" s="629" t="s">
        <v>2553</v>
      </c>
    </row>
    <row r="59" spans="1:7" ht="13.8">
      <c r="B59" s="393" t="s">
        <v>1624</v>
      </c>
      <c r="C59" s="393"/>
    </row>
    <row r="60" spans="1:7" ht="13.8">
      <c r="D60" s="372" t="s">
        <v>886</v>
      </c>
      <c r="E60" s="637">
        <f t="shared" ref="E60" si="21">paramServicesCOGS</f>
        <v>4500</v>
      </c>
      <c r="G60" s="371"/>
    </row>
    <row r="61" spans="1:7" s="399" customFormat="1" ht="2.1" customHeight="1">
      <c r="A61" s="402"/>
      <c r="B61" s="304"/>
      <c r="C61" s="372"/>
      <c r="D61" s="401"/>
      <c r="E61" s="401"/>
      <c r="F61" s="372"/>
      <c r="G61" s="400"/>
    </row>
    <row r="62" spans="1:7" s="370" customFormat="1" ht="16.8">
      <c r="A62" s="372"/>
      <c r="B62" s="372"/>
      <c r="C62" s="372"/>
      <c r="D62" s="372" t="s">
        <v>884</v>
      </c>
      <c r="E62" s="631">
        <f t="shared" ref="E62" si="22">SUM(E60:E60)</f>
        <v>4500</v>
      </c>
      <c r="F62" s="629" t="s">
        <v>2554</v>
      </c>
      <c r="G62" s="372"/>
    </row>
    <row r="64" spans="1:7" ht="12.75" customHeight="1">
      <c r="D64" s="393" t="s">
        <v>1624</v>
      </c>
      <c r="E64" s="693">
        <f t="shared" ref="E64" si="23">calcServicesProd1Seg1RenewalContracts*E62</f>
        <v>1759500</v>
      </c>
      <c r="F64" s="629" t="s">
        <v>2555</v>
      </c>
    </row>
    <row r="66" spans="1:6" ht="12.75" customHeight="1">
      <c r="B66" s="393" t="s">
        <v>903</v>
      </c>
    </row>
    <row r="67" spans="1:6" ht="12.75" customHeight="1">
      <c r="D67" s="629" t="s">
        <v>889</v>
      </c>
      <c r="E67" s="637">
        <f t="shared" ref="E67" si="24">calcServicesProd1Seg1NewRev</f>
        <v>1275000</v>
      </c>
    </row>
    <row r="68" spans="1:6" ht="12.75" customHeight="1">
      <c r="D68" s="629" t="s">
        <v>888</v>
      </c>
      <c r="E68" s="637">
        <f t="shared" ref="E68" si="25">calcServicesProd1Seg1RenewalRev</f>
        <v>5865000</v>
      </c>
    </row>
    <row r="69" spans="1:6" ht="12.75" customHeight="1">
      <c r="D69" s="393" t="s">
        <v>50</v>
      </c>
      <c r="E69" s="671">
        <f>SUM(E67:E68)</f>
        <v>7140000</v>
      </c>
      <c r="F69" s="629" t="s">
        <v>1625</v>
      </c>
    </row>
    <row r="71" spans="1:6" ht="12.75" customHeight="1">
      <c r="B71" s="393" t="s">
        <v>1626</v>
      </c>
    </row>
    <row r="72" spans="1:6" ht="12.75" customHeight="1">
      <c r="D72" s="629" t="s">
        <v>889</v>
      </c>
      <c r="E72" s="637">
        <f t="shared" ref="E72" si="26">calcServicesProd1Seg1NewCOGS</f>
        <v>382500</v>
      </c>
    </row>
    <row r="73" spans="1:6" ht="12.75" customHeight="1">
      <c r="D73" s="629" t="s">
        <v>888</v>
      </c>
      <c r="E73" s="637">
        <f t="shared" ref="E73" si="27">calcServicesProd1Seg1RenewalCOGS</f>
        <v>1759500</v>
      </c>
    </row>
    <row r="74" spans="1:6" ht="12.75" customHeight="1">
      <c r="D74" s="393" t="s">
        <v>50</v>
      </c>
      <c r="E74" s="671">
        <f t="shared" ref="E74" si="28">SUM(E72:E73)</f>
        <v>2142000</v>
      </c>
      <c r="F74" s="629" t="s">
        <v>1633</v>
      </c>
    </row>
    <row r="77" spans="1:6" s="676" customFormat="1" ht="13.8">
      <c r="B77" s="581" t="str">
        <f>nmProd1Seg2</f>
        <v>Productivity &amp; Business SMC</v>
      </c>
      <c r="C77" s="677"/>
      <c r="D77" s="677"/>
      <c r="E77" s="678"/>
    </row>
    <row r="78" spans="1:6" ht="13.8">
      <c r="B78" s="393"/>
    </row>
    <row r="79" spans="1:6" ht="13.8">
      <c r="B79" s="393" t="s">
        <v>2540</v>
      </c>
    </row>
    <row r="80" spans="1:6" s="284" customFormat="1" ht="13.8">
      <c r="A80" s="372"/>
      <c r="D80" s="284" t="s">
        <v>788</v>
      </c>
      <c r="E80" s="679">
        <v>0.05</v>
      </c>
    </row>
    <row r="81" spans="1:13" s="284" customFormat="1" ht="13.8">
      <c r="A81" s="372"/>
      <c r="D81" s="284" t="s">
        <v>787</v>
      </c>
      <c r="E81" s="681">
        <f>SUM(M85:M86)</f>
        <v>0.01</v>
      </c>
      <c r="J81" s="682"/>
      <c r="K81" s="682"/>
      <c r="L81" s="682"/>
      <c r="M81" s="682"/>
    </row>
    <row r="82" spans="1:13" s="284" customFormat="1" ht="13.8">
      <c r="A82" s="372"/>
      <c r="E82" s="366"/>
      <c r="I82" s="680"/>
      <c r="M82" s="683"/>
    </row>
    <row r="83" spans="1:13" s="284" customFormat="1" ht="13.8">
      <c r="A83" s="372"/>
      <c r="C83" s="684"/>
      <c r="D83" s="684"/>
      <c r="E83" s="690" t="s">
        <v>7</v>
      </c>
    </row>
    <row r="84" spans="1:13" s="284" customFormat="1" ht="13.8">
      <c r="A84" s="372"/>
      <c r="D84" s="684" t="s">
        <v>785</v>
      </c>
      <c r="E84" s="319">
        <f t="shared" ref="E84" si="29">obalProd1Seg2ServicesAttachRate</f>
        <v>0.08</v>
      </c>
      <c r="F84" s="366"/>
      <c r="H84" s="284" t="s">
        <v>784</v>
      </c>
    </row>
    <row r="85" spans="1:13" s="284" customFormat="1" ht="13.8">
      <c r="A85" s="372"/>
      <c r="D85" s="707" t="s">
        <v>2541</v>
      </c>
      <c r="E85" s="736">
        <f t="shared" ref="E85" si="30">((cbalCommercialServicesFTEs-obalCommercialServicesFTEs)/100)*$H85</f>
        <v>0</v>
      </c>
      <c r="H85" s="686">
        <v>0.01</v>
      </c>
      <c r="I85" s="284" t="s">
        <v>783</v>
      </c>
      <c r="J85" s="284" t="s">
        <v>782</v>
      </c>
      <c r="K85" s="284" t="s">
        <v>781</v>
      </c>
      <c r="L85" s="284" t="s">
        <v>780</v>
      </c>
      <c r="M85" s="284" t="s">
        <v>779</v>
      </c>
    </row>
    <row r="86" spans="1:13" s="284" customFormat="1" ht="13.8">
      <c r="A86" s="372"/>
      <c r="D86" s="708" t="s">
        <v>466</v>
      </c>
      <c r="E86" s="735">
        <f t="shared" ref="E86" si="31">INDEX($H86:$M86,decCommercialSkill2+1)</f>
        <v>-0.01</v>
      </c>
      <c r="H86" s="685">
        <v>-0.01</v>
      </c>
      <c r="I86" s="686">
        <v>-5.0000000000000001E-3</v>
      </c>
      <c r="J86" s="686">
        <v>0</v>
      </c>
      <c r="K86" s="686">
        <v>2.5000000000000001E-3</v>
      </c>
      <c r="L86" s="686">
        <v>5.0000000000000001E-3</v>
      </c>
      <c r="M86" s="686">
        <v>0.01</v>
      </c>
    </row>
    <row r="87" spans="1:13" s="284" customFormat="1" ht="13.8">
      <c r="A87" s="372"/>
      <c r="D87" s="684" t="s">
        <v>778</v>
      </c>
      <c r="E87" s="687"/>
      <c r="F87" s="284" t="s">
        <v>2532</v>
      </c>
    </row>
    <row r="88" spans="1:13" s="689" customFormat="1" ht="2.1" customHeight="1">
      <c r="A88" s="372"/>
      <c r="B88" s="284"/>
      <c r="D88" s="688"/>
      <c r="E88" s="688"/>
      <c r="H88" s="284"/>
      <c r="I88" s="284"/>
      <c r="J88" s="284"/>
      <c r="K88" s="284"/>
      <c r="L88" s="284"/>
      <c r="M88" s="284"/>
    </row>
    <row r="89" spans="1:13" s="284" customFormat="1" ht="13.8">
      <c r="A89" s="372"/>
      <c r="D89" s="694" t="s">
        <v>777</v>
      </c>
      <c r="E89" s="695">
        <f t="shared" ref="E89" si="32">IF(xxRound=0,E84,SUM(E84:E87))</f>
        <v>7.0000000000000007E-2</v>
      </c>
      <c r="F89" s="284" t="s">
        <v>2533</v>
      </c>
    </row>
    <row r="90" spans="1:13" ht="13.8"/>
    <row r="91" spans="1:13" ht="13.8">
      <c r="B91" s="393" t="s">
        <v>117</v>
      </c>
    </row>
    <row r="92" spans="1:13" ht="13.8">
      <c r="C92" s="371" t="s">
        <v>1597</v>
      </c>
    </row>
    <row r="93" spans="1:13" ht="13.8">
      <c r="D93" s="372" t="s">
        <v>1612</v>
      </c>
      <c r="E93" s="403">
        <f t="shared" ref="E93" si="33">cbalProd1Seg2NewCustomers</f>
        <v>1522.9140300000004</v>
      </c>
      <c r="G93" s="371"/>
    </row>
    <row r="94" spans="1:13" ht="13.8">
      <c r="D94" s="372" t="s">
        <v>771</v>
      </c>
      <c r="E94" s="668">
        <f t="shared" ref="E94" si="34">calcServicesProd1Seg2Attach</f>
        <v>7.0000000000000007E-2</v>
      </c>
      <c r="G94" s="371"/>
    </row>
    <row r="95" spans="1:13" ht="13.8">
      <c r="D95" s="629" t="s">
        <v>2193</v>
      </c>
      <c r="E95" s="669">
        <f t="shared" ref="E95" si="35">IF(xxRound=0,obalProd1Seg2NewServicesCust,ROUND((E93*E94),0))</f>
        <v>107</v>
      </c>
      <c r="F95" s="372" t="s">
        <v>2556</v>
      </c>
    </row>
    <row r="97" spans="1:13" ht="12.75" customHeight="1">
      <c r="D97" s="629" t="s">
        <v>188</v>
      </c>
      <c r="E97" s="637">
        <f t="shared" ref="E97" si="36">paramServicesPrice</f>
        <v>15000</v>
      </c>
    </row>
    <row r="99" spans="1:13" ht="12.75" customHeight="1">
      <c r="D99" s="393" t="s">
        <v>117</v>
      </c>
      <c r="E99" s="693">
        <f t="shared" ref="E99" si="37">calcServicesProd1Seg2NewContracts*E97</f>
        <v>1605000</v>
      </c>
      <c r="F99" s="372" t="s">
        <v>2557</v>
      </c>
    </row>
    <row r="101" spans="1:13" ht="13.8">
      <c r="B101" s="393" t="s">
        <v>898</v>
      </c>
      <c r="C101" s="393"/>
    </row>
    <row r="102" spans="1:13" ht="13.8">
      <c r="D102" s="372" t="s">
        <v>886</v>
      </c>
      <c r="E102" s="637">
        <f t="shared" ref="E102" si="38">paramServicesCOGS</f>
        <v>4500</v>
      </c>
      <c r="G102" s="371"/>
    </row>
    <row r="103" spans="1:13" s="399" customFormat="1" ht="2.1" customHeight="1">
      <c r="A103" s="402"/>
      <c r="B103" s="304"/>
      <c r="C103" s="372"/>
      <c r="D103" s="401"/>
      <c r="E103" s="401"/>
      <c r="F103" s="372"/>
      <c r="G103" s="400"/>
    </row>
    <row r="104" spans="1:13" s="370" customFormat="1" ht="16.8">
      <c r="A104" s="372"/>
      <c r="B104" s="372"/>
      <c r="C104" s="372"/>
      <c r="D104" s="372" t="s">
        <v>884</v>
      </c>
      <c r="E104" s="631">
        <f t="shared" ref="E104" si="39">SUM(E102:E102)</f>
        <v>4500</v>
      </c>
      <c r="F104" s="629" t="s">
        <v>2558</v>
      </c>
      <c r="G104" s="372"/>
    </row>
    <row r="106" spans="1:13" ht="12.75" customHeight="1">
      <c r="D106" s="393" t="s">
        <v>2531</v>
      </c>
      <c r="E106" s="693">
        <f t="shared" ref="E106" si="40">calcServicesProd1Seg2NewContracts*E104</f>
        <v>481500</v>
      </c>
      <c r="F106" s="629" t="s">
        <v>2559</v>
      </c>
    </row>
    <row r="107" spans="1:13" ht="13.8">
      <c r="B107" s="393"/>
    </row>
    <row r="108" spans="1:13" ht="13.8">
      <c r="B108" s="393" t="s">
        <v>888</v>
      </c>
    </row>
    <row r="109" spans="1:13" s="284" customFormat="1" ht="13.8">
      <c r="A109" s="372"/>
      <c r="D109" s="284" t="s">
        <v>788</v>
      </c>
      <c r="E109" s="679">
        <v>0.05</v>
      </c>
    </row>
    <row r="110" spans="1:13" s="284" customFormat="1" ht="13.8">
      <c r="A110" s="372"/>
      <c r="D110" s="284" t="s">
        <v>787</v>
      </c>
      <c r="E110" s="681">
        <f>SUM(M114:M115)</f>
        <v>0.01</v>
      </c>
      <c r="J110" s="682"/>
      <c r="K110" s="682"/>
      <c r="L110" s="682"/>
      <c r="M110" s="682"/>
    </row>
    <row r="111" spans="1:13" s="284" customFormat="1" ht="13.8">
      <c r="A111" s="372"/>
      <c r="E111" s="366"/>
      <c r="I111" s="680"/>
      <c r="M111" s="683"/>
    </row>
    <row r="112" spans="1:13" s="284" customFormat="1" ht="13.8">
      <c r="A112" s="372"/>
      <c r="C112" s="684"/>
      <c r="D112" s="684"/>
      <c r="E112" s="690" t="s">
        <v>7</v>
      </c>
    </row>
    <row r="113" spans="1:13" s="284" customFormat="1" ht="13.8">
      <c r="A113" s="372"/>
      <c r="C113" s="684" t="s">
        <v>791</v>
      </c>
      <c r="D113" s="684"/>
      <c r="E113" s="319">
        <f t="shared" ref="E113" si="41">obalProd1Seg2ServicesRenRate</f>
        <v>0.47</v>
      </c>
      <c r="F113" s="366"/>
      <c r="H113" s="284" t="s">
        <v>784</v>
      </c>
      <c r="I113" s="284" t="s">
        <v>783</v>
      </c>
      <c r="J113" s="284" t="s">
        <v>782</v>
      </c>
      <c r="K113" s="284" t="s">
        <v>781</v>
      </c>
      <c r="L113" s="284" t="s">
        <v>780</v>
      </c>
      <c r="M113" s="284" t="s">
        <v>779</v>
      </c>
    </row>
    <row r="114" spans="1:13" s="284" customFormat="1" ht="13.8">
      <c r="A114" s="372"/>
      <c r="D114" s="707" t="s">
        <v>1782</v>
      </c>
      <c r="E114" s="736">
        <f t="shared" ref="E114" si="42">((cbalCommercialServicesFTEs-obalCommercialServicesFTEs)/100)*$H114</f>
        <v>0</v>
      </c>
      <c r="H114" s="686">
        <v>0.01</v>
      </c>
      <c r="I114" s="284" t="s">
        <v>783</v>
      </c>
      <c r="J114" s="284" t="s">
        <v>782</v>
      </c>
      <c r="K114" s="284" t="s">
        <v>781</v>
      </c>
      <c r="L114" s="284" t="s">
        <v>780</v>
      </c>
      <c r="M114" s="284" t="s">
        <v>779</v>
      </c>
    </row>
    <row r="115" spans="1:13" s="284" customFormat="1" ht="13.8">
      <c r="A115" s="372"/>
      <c r="D115" s="708" t="s">
        <v>465</v>
      </c>
      <c r="E115" s="735">
        <f t="shared" ref="E115" si="43">INDEX($H115:$M115,decCommercialSkill1+1)</f>
        <v>-0.01</v>
      </c>
      <c r="H115" s="685">
        <v>-0.01</v>
      </c>
      <c r="I115" s="686">
        <v>-5.0000000000000001E-3</v>
      </c>
      <c r="J115" s="686">
        <v>0</v>
      </c>
      <c r="K115" s="686">
        <v>2.5000000000000001E-3</v>
      </c>
      <c r="L115" s="686">
        <v>5.0000000000000001E-3</v>
      </c>
      <c r="M115" s="686">
        <v>0.01</v>
      </c>
    </row>
    <row r="116" spans="1:13" s="284" customFormat="1" ht="13.8">
      <c r="A116" s="372"/>
      <c r="D116" s="684" t="s">
        <v>778</v>
      </c>
      <c r="E116" s="696"/>
      <c r="F116" s="284" t="s">
        <v>2560</v>
      </c>
    </row>
    <row r="117" spans="1:13" s="689" customFormat="1" ht="2.1" customHeight="1">
      <c r="A117" s="372"/>
      <c r="B117" s="284"/>
      <c r="D117" s="688"/>
      <c r="E117" s="688"/>
      <c r="H117" s="284"/>
      <c r="I117" s="284"/>
      <c r="J117" s="284"/>
      <c r="K117" s="284"/>
      <c r="L117" s="284"/>
      <c r="M117" s="284"/>
    </row>
    <row r="118" spans="1:13" s="284" customFormat="1" ht="13.8">
      <c r="A118" s="372"/>
      <c r="D118" s="691" t="s">
        <v>770</v>
      </c>
      <c r="E118" s="692">
        <f t="shared" ref="E118" si="44">IF(xxRound=0,E113,SUM(E113:E116))</f>
        <v>0.45999999999999996</v>
      </c>
      <c r="F118" s="284" t="s">
        <v>2561</v>
      </c>
    </row>
    <row r="119" spans="1:13" ht="13.8"/>
    <row r="120" spans="1:13" ht="13.8">
      <c r="B120" s="393" t="s">
        <v>1613</v>
      </c>
    </row>
    <row r="121" spans="1:13" ht="13.8">
      <c r="C121" s="371" t="s">
        <v>2194</v>
      </c>
    </row>
    <row r="122" spans="1:13" ht="13.8">
      <c r="D122" s="372" t="s">
        <v>1612</v>
      </c>
      <c r="E122" s="403">
        <f t="shared" ref="E122" si="45">obalProd1Seg2TotalServicesCust</f>
        <v>3207.9778665581775</v>
      </c>
      <c r="G122" s="371"/>
    </row>
    <row r="123" spans="1:13" ht="13.8">
      <c r="D123" s="372" t="s">
        <v>772</v>
      </c>
      <c r="E123" s="668">
        <f t="shared" ref="E123" si="46">calcServicesProd1Seg2Renewal</f>
        <v>0.45999999999999996</v>
      </c>
      <c r="G123" s="371"/>
    </row>
    <row r="124" spans="1:13" ht="13.8">
      <c r="D124" s="629" t="s">
        <v>2195</v>
      </c>
      <c r="E124" s="669">
        <f t="shared" ref="E124" si="47">IF(xxRound=0,obalProd1Seg2RenewedServicesCust,ROUND((E122*E123),0))</f>
        <v>1476</v>
      </c>
      <c r="F124" s="629" t="s">
        <v>2562</v>
      </c>
    </row>
    <row r="126" spans="1:13" ht="12.75" customHeight="1">
      <c r="D126" s="372" t="s">
        <v>1614</v>
      </c>
      <c r="E126" s="637">
        <f t="shared" ref="E126" si="48">paramServicesPrice</f>
        <v>15000</v>
      </c>
    </row>
    <row r="127" spans="1:13" ht="12.75" customHeight="1">
      <c r="E127" s="672"/>
    </row>
    <row r="128" spans="1:13" ht="12.75" customHeight="1">
      <c r="D128" s="372" t="s">
        <v>1613</v>
      </c>
      <c r="E128" s="671">
        <f t="shared" ref="E128" si="49">calcServicesProd1Seg2RenewalContracts*E126</f>
        <v>22140000</v>
      </c>
      <c r="F128" s="629" t="s">
        <v>2563</v>
      </c>
    </row>
    <row r="131" spans="1:7" ht="13.8">
      <c r="B131" s="393" t="s">
        <v>1624</v>
      </c>
      <c r="C131" s="393"/>
    </row>
    <row r="132" spans="1:7" ht="13.8">
      <c r="D132" s="372" t="s">
        <v>886</v>
      </c>
      <c r="E132" s="637">
        <f t="shared" ref="E132" si="50">paramServicesCOGS</f>
        <v>4500</v>
      </c>
      <c r="G132" s="371"/>
    </row>
    <row r="133" spans="1:7" s="399" customFormat="1" ht="2.1" customHeight="1">
      <c r="A133" s="402"/>
      <c r="B133" s="304"/>
      <c r="C133" s="372"/>
      <c r="D133" s="401"/>
      <c r="E133" s="401"/>
      <c r="F133" s="372"/>
      <c r="G133" s="400"/>
    </row>
    <row r="134" spans="1:7" s="370" customFormat="1" ht="16.8">
      <c r="A134" s="372"/>
      <c r="B134" s="372"/>
      <c r="C134" s="372"/>
      <c r="D134" s="372" t="s">
        <v>884</v>
      </c>
      <c r="E134" s="631">
        <f t="shared" ref="E134" si="51">SUM(E132:E132)</f>
        <v>4500</v>
      </c>
      <c r="F134" s="629" t="s">
        <v>2564</v>
      </c>
      <c r="G134" s="372"/>
    </row>
    <row r="136" spans="1:7" ht="12.75" customHeight="1">
      <c r="D136" s="393" t="s">
        <v>1624</v>
      </c>
      <c r="E136" s="693">
        <f t="shared" ref="E136" si="52">calcServicesProd1Seg2RenewalContracts*E134</f>
        <v>6642000</v>
      </c>
      <c r="F136" s="629" t="s">
        <v>2565</v>
      </c>
    </row>
    <row r="138" spans="1:7" ht="12.75" customHeight="1">
      <c r="B138" s="393" t="s">
        <v>903</v>
      </c>
    </row>
    <row r="139" spans="1:7" ht="12.75" customHeight="1">
      <c r="D139" s="629" t="s">
        <v>889</v>
      </c>
      <c r="E139" s="637">
        <f t="shared" ref="E139" si="53">calcServicesProd1Seg2NewRev</f>
        <v>1605000</v>
      </c>
    </row>
    <row r="140" spans="1:7" ht="12.75" customHeight="1">
      <c r="D140" s="629" t="s">
        <v>888</v>
      </c>
      <c r="E140" s="637">
        <f t="shared" ref="E140" si="54">calcServicesProd1Seg2RenewalRev</f>
        <v>22140000</v>
      </c>
    </row>
    <row r="141" spans="1:7" ht="12.75" customHeight="1">
      <c r="D141" s="393" t="s">
        <v>50</v>
      </c>
      <c r="E141" s="671">
        <f>SUM(E139:E140)</f>
        <v>23745000</v>
      </c>
      <c r="F141" s="629" t="s">
        <v>1627</v>
      </c>
    </row>
    <row r="143" spans="1:7" ht="12.75" customHeight="1">
      <c r="B143" s="393" t="s">
        <v>1626</v>
      </c>
    </row>
    <row r="144" spans="1:7" ht="12.75" customHeight="1">
      <c r="D144" s="629" t="s">
        <v>889</v>
      </c>
      <c r="E144" s="637">
        <f t="shared" ref="E144" si="55">calcServicesProd1Seg2NewCOGS</f>
        <v>481500</v>
      </c>
    </row>
    <row r="145" spans="1:13" ht="12.75" customHeight="1">
      <c r="D145" s="629" t="s">
        <v>888</v>
      </c>
      <c r="E145" s="637">
        <f t="shared" ref="E145" si="56">calcServicesProd1Seg2RenewalCOGS</f>
        <v>6642000</v>
      </c>
    </row>
    <row r="146" spans="1:13" ht="12.75" customHeight="1">
      <c r="D146" s="393" t="s">
        <v>50</v>
      </c>
      <c r="E146" s="671">
        <f>SUM(E144:E145)</f>
        <v>7123500</v>
      </c>
      <c r="F146" s="629" t="s">
        <v>1632</v>
      </c>
    </row>
    <row r="149" spans="1:13" s="676" customFormat="1" ht="13.8">
      <c r="B149" s="581" t="str">
        <f>nmProd2Seg1</f>
        <v>Intelligent Cloud Enterprise</v>
      </c>
      <c r="C149" s="677"/>
      <c r="D149" s="677"/>
      <c r="E149" s="678"/>
    </row>
    <row r="150" spans="1:13" ht="13.8">
      <c r="B150" s="393"/>
    </row>
    <row r="151" spans="1:13" ht="13.8">
      <c r="B151" s="393" t="s">
        <v>2540</v>
      </c>
    </row>
    <row r="152" spans="1:13" s="284" customFormat="1" ht="13.8">
      <c r="A152" s="372"/>
      <c r="D152" s="284" t="s">
        <v>788</v>
      </c>
      <c r="E152" s="679">
        <v>0.05</v>
      </c>
    </row>
    <row r="153" spans="1:13" s="284" customFormat="1" ht="13.8">
      <c r="A153" s="372"/>
      <c r="D153" s="284" t="s">
        <v>787</v>
      </c>
      <c r="E153" s="681">
        <f>SUM(M157:M158)</f>
        <v>0.01</v>
      </c>
      <c r="J153" s="682"/>
      <c r="K153" s="682"/>
      <c r="L153" s="682"/>
      <c r="M153" s="682"/>
    </row>
    <row r="154" spans="1:13" s="284" customFormat="1" ht="13.8">
      <c r="A154" s="372"/>
      <c r="E154" s="366"/>
      <c r="I154" s="680"/>
      <c r="M154" s="683"/>
    </row>
    <row r="155" spans="1:13" s="284" customFormat="1" ht="13.8">
      <c r="A155" s="372"/>
      <c r="C155" s="684"/>
      <c r="D155" s="684"/>
      <c r="E155" s="690" t="s">
        <v>7</v>
      </c>
    </row>
    <row r="156" spans="1:13" s="284" customFormat="1" ht="13.8">
      <c r="A156" s="372"/>
      <c r="D156" s="684" t="s">
        <v>785</v>
      </c>
      <c r="E156" s="319">
        <f t="shared" ref="E156" si="57">obalProd2Seg1ServicesAttachRate</f>
        <v>0.61</v>
      </c>
      <c r="F156" s="366"/>
      <c r="H156" s="284" t="s">
        <v>784</v>
      </c>
    </row>
    <row r="157" spans="1:13" s="284" customFormat="1" ht="13.8">
      <c r="A157" s="372"/>
      <c r="D157" s="707" t="s">
        <v>2541</v>
      </c>
      <c r="E157" s="736">
        <f t="shared" ref="E157" si="58">((cbalCommercialServicesFTEs-obalCommercialServicesFTEs)/100)*$H157</f>
        <v>0</v>
      </c>
      <c r="H157" s="686">
        <v>0.01</v>
      </c>
      <c r="I157" s="284" t="s">
        <v>783</v>
      </c>
      <c r="J157" s="284" t="s">
        <v>782</v>
      </c>
      <c r="K157" s="284" t="s">
        <v>781</v>
      </c>
      <c r="L157" s="284" t="s">
        <v>780</v>
      </c>
      <c r="M157" s="284" t="s">
        <v>779</v>
      </c>
    </row>
    <row r="158" spans="1:13" s="284" customFormat="1" ht="13.8">
      <c r="A158" s="372"/>
      <c r="D158" s="708" t="s">
        <v>466</v>
      </c>
      <c r="E158" s="735">
        <f t="shared" ref="E158" si="59">INDEX($H158:$M158,decCommercialSkill2+1)</f>
        <v>-0.01</v>
      </c>
      <c r="H158" s="685">
        <v>-0.01</v>
      </c>
      <c r="I158" s="686">
        <v>-5.0000000000000001E-3</v>
      </c>
      <c r="J158" s="686">
        <v>0</v>
      </c>
      <c r="K158" s="686">
        <v>2.5000000000000001E-3</v>
      </c>
      <c r="L158" s="686">
        <v>5.0000000000000001E-3</v>
      </c>
      <c r="M158" s="686">
        <v>0.01</v>
      </c>
    </row>
    <row r="159" spans="1:13" s="284" customFormat="1" ht="13.8">
      <c r="A159" s="372"/>
      <c r="D159" s="684" t="s">
        <v>778</v>
      </c>
      <c r="E159" s="687"/>
      <c r="F159" s="284" t="s">
        <v>2534</v>
      </c>
    </row>
    <row r="160" spans="1:13" s="689" customFormat="1" ht="2.1" customHeight="1">
      <c r="A160" s="372"/>
      <c r="B160" s="284"/>
      <c r="D160" s="688"/>
      <c r="E160" s="688"/>
      <c r="H160" s="284"/>
      <c r="I160" s="284"/>
      <c r="J160" s="284"/>
      <c r="K160" s="284"/>
      <c r="L160" s="284"/>
      <c r="M160" s="284"/>
    </row>
    <row r="161" spans="1:7" s="284" customFormat="1" ht="13.8">
      <c r="A161" s="372"/>
      <c r="D161" s="694" t="s">
        <v>777</v>
      </c>
      <c r="E161" s="695">
        <f t="shared" ref="E161" si="60">IF(xxRound=0,E156,SUM(E156:E159))</f>
        <v>0.6</v>
      </c>
      <c r="F161" s="284" t="s">
        <v>2535</v>
      </c>
    </row>
    <row r="162" spans="1:7" ht="13.8"/>
    <row r="163" spans="1:7" ht="13.8">
      <c r="B163" s="393" t="s">
        <v>117</v>
      </c>
    </row>
    <row r="164" spans="1:7" ht="13.8">
      <c r="C164" s="371" t="s">
        <v>1597</v>
      </c>
    </row>
    <row r="165" spans="1:7" ht="13.8">
      <c r="D165" s="372" t="s">
        <v>1612</v>
      </c>
      <c r="E165" s="403">
        <f t="shared" ref="E165" si="61">cbalProd2Seg1NewCustomers</f>
        <v>163.09466316000007</v>
      </c>
      <c r="G165" s="371"/>
    </row>
    <row r="166" spans="1:7" ht="13.8">
      <c r="D166" s="372" t="s">
        <v>771</v>
      </c>
      <c r="E166" s="668">
        <f t="shared" ref="E166" si="62">calcServicesProd2Seg1Attach</f>
        <v>0.6</v>
      </c>
      <c r="G166" s="371"/>
    </row>
    <row r="167" spans="1:7" ht="13.8">
      <c r="D167" s="629" t="s">
        <v>2193</v>
      </c>
      <c r="E167" s="669">
        <f t="shared" ref="E167" si="63">IF(xxRound=0,obalProd2Seg1NewServicesCust,ROUND((E165*E166),0))</f>
        <v>98</v>
      </c>
      <c r="F167" s="372" t="s">
        <v>2566</v>
      </c>
    </row>
    <row r="169" spans="1:7" ht="12.75" customHeight="1">
      <c r="D169" s="629" t="s">
        <v>188</v>
      </c>
      <c r="E169" s="637">
        <f t="shared" ref="E169" si="64">paramServicesPrice</f>
        <v>15000</v>
      </c>
    </row>
    <row r="171" spans="1:7" ht="12.75" customHeight="1">
      <c r="D171" s="393" t="s">
        <v>117</v>
      </c>
      <c r="E171" s="693">
        <f t="shared" ref="E171" si="65">calcServicesProd2Seg1NewContracts*E169</f>
        <v>1470000</v>
      </c>
      <c r="F171" s="372" t="s">
        <v>2567</v>
      </c>
    </row>
    <row r="173" spans="1:7" ht="13.8">
      <c r="B173" s="393" t="s">
        <v>898</v>
      </c>
      <c r="C173" s="393"/>
    </row>
    <row r="174" spans="1:7" ht="13.8">
      <c r="D174" s="372" t="s">
        <v>886</v>
      </c>
      <c r="E174" s="637">
        <f t="shared" ref="E174" si="66">paramServicesCOGS</f>
        <v>4500</v>
      </c>
      <c r="G174" s="371"/>
    </row>
    <row r="175" spans="1:7" s="399" customFormat="1" ht="2.1" customHeight="1">
      <c r="A175" s="402"/>
      <c r="B175" s="304"/>
      <c r="C175" s="372"/>
      <c r="D175" s="401"/>
      <c r="E175" s="401"/>
      <c r="F175" s="372"/>
      <c r="G175" s="400"/>
    </row>
    <row r="176" spans="1:7" s="370" customFormat="1" ht="16.8">
      <c r="A176" s="372"/>
      <c r="B176" s="372"/>
      <c r="C176" s="372"/>
      <c r="D176" s="372" t="s">
        <v>884</v>
      </c>
      <c r="E176" s="631">
        <f t="shared" ref="E176" si="67">SUM(E174:E174)</f>
        <v>4500</v>
      </c>
      <c r="F176" s="629" t="s">
        <v>2568</v>
      </c>
      <c r="G176" s="372"/>
    </row>
    <row r="178" spans="1:13" ht="12.75" customHeight="1">
      <c r="D178" s="393" t="s">
        <v>2531</v>
      </c>
      <c r="E178" s="693">
        <f t="shared" ref="E178" si="68">calcServicesProd2Seg1NewContracts*E176</f>
        <v>441000</v>
      </c>
      <c r="F178" s="629" t="s">
        <v>2569</v>
      </c>
    </row>
    <row r="179" spans="1:13" ht="13.8">
      <c r="B179" s="393"/>
    </row>
    <row r="180" spans="1:13" ht="13.8">
      <c r="B180" s="393" t="s">
        <v>888</v>
      </c>
    </row>
    <row r="181" spans="1:13" s="284" customFormat="1" ht="13.8">
      <c r="A181" s="372"/>
      <c r="D181" s="284" t="s">
        <v>788</v>
      </c>
      <c r="E181" s="679">
        <v>0.05</v>
      </c>
    </row>
    <row r="182" spans="1:13" s="284" customFormat="1" ht="13.8">
      <c r="A182" s="372"/>
      <c r="D182" s="284" t="s">
        <v>787</v>
      </c>
      <c r="E182" s="681">
        <f>SUM(M186:M187)</f>
        <v>0.01</v>
      </c>
      <c r="J182" s="682"/>
      <c r="K182" s="682"/>
      <c r="L182" s="682"/>
      <c r="M182" s="682"/>
    </row>
    <row r="183" spans="1:13" s="284" customFormat="1" ht="13.8">
      <c r="A183" s="372"/>
      <c r="E183" s="366"/>
      <c r="I183" s="680"/>
      <c r="M183" s="683"/>
    </row>
    <row r="184" spans="1:13" s="284" customFormat="1" ht="13.8">
      <c r="A184" s="372"/>
      <c r="C184" s="684"/>
      <c r="D184" s="684"/>
      <c r="E184" s="690" t="s">
        <v>7</v>
      </c>
    </row>
    <row r="185" spans="1:13" s="284" customFormat="1" ht="13.8">
      <c r="A185" s="372"/>
      <c r="C185" s="684" t="s">
        <v>791</v>
      </c>
      <c r="D185" s="684"/>
      <c r="E185" s="319">
        <f t="shared" ref="E185" si="69">obalProd2Seg1ServicesRenRate</f>
        <v>0.8</v>
      </c>
      <c r="F185" s="366"/>
      <c r="H185" s="284" t="s">
        <v>784</v>
      </c>
      <c r="I185" s="284" t="s">
        <v>783</v>
      </c>
      <c r="J185" s="284" t="s">
        <v>782</v>
      </c>
      <c r="K185" s="284" t="s">
        <v>781</v>
      </c>
      <c r="L185" s="284" t="s">
        <v>780</v>
      </c>
      <c r="M185" s="284" t="s">
        <v>779</v>
      </c>
    </row>
    <row r="186" spans="1:13" s="284" customFormat="1" ht="13.8">
      <c r="A186" s="372"/>
      <c r="D186" s="707" t="s">
        <v>1782</v>
      </c>
      <c r="E186" s="736">
        <f t="shared" ref="E186" si="70">((cbalCommercialServicesFTEs-obalCommercialServicesFTEs)/100)*$H186</f>
        <v>0</v>
      </c>
      <c r="H186" s="686">
        <v>0.01</v>
      </c>
      <c r="I186" s="284" t="s">
        <v>783</v>
      </c>
      <c r="J186" s="284" t="s">
        <v>782</v>
      </c>
      <c r="K186" s="284" t="s">
        <v>781</v>
      </c>
      <c r="L186" s="284" t="s">
        <v>780</v>
      </c>
      <c r="M186" s="284" t="s">
        <v>779</v>
      </c>
    </row>
    <row r="187" spans="1:13" s="284" customFormat="1" ht="13.8">
      <c r="A187" s="372"/>
      <c r="D187" s="708" t="s">
        <v>465</v>
      </c>
      <c r="E187" s="735">
        <f t="shared" ref="E187" si="71">INDEX($H187:$M187,decCommercialSkill1+1)</f>
        <v>-0.01</v>
      </c>
      <c r="H187" s="685">
        <v>-0.01</v>
      </c>
      <c r="I187" s="686">
        <v>-5.0000000000000001E-3</v>
      </c>
      <c r="J187" s="686">
        <v>0</v>
      </c>
      <c r="K187" s="686">
        <v>2.5000000000000001E-3</v>
      </c>
      <c r="L187" s="686">
        <v>5.0000000000000001E-3</v>
      </c>
      <c r="M187" s="686">
        <v>0.01</v>
      </c>
    </row>
    <row r="188" spans="1:13" s="284" customFormat="1" ht="13.8">
      <c r="A188" s="372"/>
      <c r="D188" s="684" t="s">
        <v>778</v>
      </c>
      <c r="E188" s="696"/>
      <c r="F188" s="284" t="s">
        <v>2570</v>
      </c>
    </row>
    <row r="189" spans="1:13" s="689" customFormat="1" ht="2.1" customHeight="1">
      <c r="A189" s="372"/>
      <c r="B189" s="284"/>
      <c r="D189" s="688"/>
      <c r="E189" s="688"/>
      <c r="H189" s="284"/>
      <c r="I189" s="284"/>
      <c r="J189" s="284"/>
      <c r="K189" s="284"/>
      <c r="L189" s="284"/>
      <c r="M189" s="284"/>
    </row>
    <row r="190" spans="1:13" s="284" customFormat="1" ht="13.8">
      <c r="A190" s="372"/>
      <c r="D190" s="691" t="s">
        <v>770</v>
      </c>
      <c r="E190" s="692">
        <f t="shared" ref="E190" si="72">IF(xxRound=0,E185,SUM(E185:E188))</f>
        <v>0.79</v>
      </c>
      <c r="F190" s="284" t="s">
        <v>2571</v>
      </c>
    </row>
    <row r="191" spans="1:13" ht="13.8"/>
    <row r="192" spans="1:13" ht="13.8">
      <c r="B192" s="393" t="s">
        <v>1613</v>
      </c>
    </row>
    <row r="193" spans="1:7" ht="13.8">
      <c r="C193" s="371" t="s">
        <v>2194</v>
      </c>
    </row>
    <row r="194" spans="1:7" ht="13.8">
      <c r="D194" s="372" t="s">
        <v>1612</v>
      </c>
      <c r="E194" s="403">
        <f t="shared" ref="E194" si="73">obalProd2Seg1TotalServicesCust</f>
        <v>232.99879477210126</v>
      </c>
      <c r="G194" s="371"/>
    </row>
    <row r="195" spans="1:7" ht="13.8">
      <c r="D195" s="372" t="s">
        <v>772</v>
      </c>
      <c r="E195" s="668">
        <f t="shared" ref="E195" si="74">calcServicesProd2Seg1Renewal</f>
        <v>0.79</v>
      </c>
      <c r="G195" s="371"/>
    </row>
    <row r="196" spans="1:7" ht="13.8">
      <c r="D196" s="629" t="s">
        <v>2195</v>
      </c>
      <c r="E196" s="669">
        <f t="shared" ref="E196" si="75">IF(xxRound=0,obalProd2Seg1RenewedServicesCust,ROUND((E194*E195),0))</f>
        <v>184</v>
      </c>
      <c r="F196" s="629" t="s">
        <v>2572</v>
      </c>
    </row>
    <row r="198" spans="1:7" ht="12.75" customHeight="1">
      <c r="D198" s="372" t="s">
        <v>1614</v>
      </c>
      <c r="E198" s="637">
        <f t="shared" ref="E198" si="76">paramServicesPrice</f>
        <v>15000</v>
      </c>
    </row>
    <row r="199" spans="1:7" ht="12.75" customHeight="1">
      <c r="E199" s="672"/>
    </row>
    <row r="200" spans="1:7" ht="12.75" customHeight="1">
      <c r="D200" s="372" t="s">
        <v>1613</v>
      </c>
      <c r="E200" s="671">
        <f t="shared" ref="E200" si="77">calcServicesProd2Seg1RenewalContracts*E198</f>
        <v>2760000</v>
      </c>
      <c r="F200" s="629" t="s">
        <v>2573</v>
      </c>
    </row>
    <row r="203" spans="1:7" ht="13.8">
      <c r="B203" s="393" t="s">
        <v>1624</v>
      </c>
      <c r="C203" s="393"/>
    </row>
    <row r="204" spans="1:7" ht="13.8">
      <c r="D204" s="372" t="s">
        <v>886</v>
      </c>
      <c r="E204" s="637">
        <f t="shared" ref="E204" si="78">paramServicesCOGS</f>
        <v>4500</v>
      </c>
      <c r="G204" s="371"/>
    </row>
    <row r="205" spans="1:7" s="399" customFormat="1" ht="2.1" customHeight="1">
      <c r="A205" s="402"/>
      <c r="B205" s="304"/>
      <c r="C205" s="372"/>
      <c r="D205" s="401"/>
      <c r="E205" s="401"/>
      <c r="F205" s="372"/>
      <c r="G205" s="400"/>
    </row>
    <row r="206" spans="1:7" s="370" customFormat="1" ht="16.8">
      <c r="A206" s="372"/>
      <c r="B206" s="372"/>
      <c r="C206" s="372"/>
      <c r="D206" s="372" t="s">
        <v>884</v>
      </c>
      <c r="E206" s="631">
        <f t="shared" ref="E206" si="79">SUM(E204:E204)</f>
        <v>4500</v>
      </c>
      <c r="F206" s="629" t="s">
        <v>2574</v>
      </c>
      <c r="G206" s="372"/>
    </row>
    <row r="208" spans="1:7" ht="12.75" customHeight="1">
      <c r="D208" s="393" t="s">
        <v>1624</v>
      </c>
      <c r="E208" s="693">
        <f t="shared" ref="E208" si="80">calcServicesProd2Seg1RenewalContracts*E206</f>
        <v>828000</v>
      </c>
      <c r="F208" s="629" t="s">
        <v>2575</v>
      </c>
    </row>
    <row r="210" spans="1:6" ht="12.75" customHeight="1">
      <c r="B210" s="393" t="s">
        <v>903</v>
      </c>
    </row>
    <row r="211" spans="1:6" ht="12.75" customHeight="1">
      <c r="D211" s="629" t="s">
        <v>889</v>
      </c>
      <c r="E211" s="637">
        <f t="shared" ref="E211" si="81">calcServicesProd2Seg1NewRev</f>
        <v>1470000</v>
      </c>
    </row>
    <row r="212" spans="1:6" ht="12.75" customHeight="1">
      <c r="D212" s="629" t="s">
        <v>888</v>
      </c>
      <c r="E212" s="637">
        <f t="shared" ref="E212" si="82">calcServicesProd2Seg1RenewalRev</f>
        <v>2760000</v>
      </c>
    </row>
    <row r="213" spans="1:6" ht="12.75" customHeight="1">
      <c r="D213" s="393" t="s">
        <v>50</v>
      </c>
      <c r="E213" s="671">
        <f>SUM(E211:E212)</f>
        <v>4230000</v>
      </c>
      <c r="F213" s="629" t="s">
        <v>1628</v>
      </c>
    </row>
    <row r="215" spans="1:6" ht="12.75" customHeight="1">
      <c r="B215" s="393" t="s">
        <v>1626</v>
      </c>
    </row>
    <row r="216" spans="1:6" ht="12.75" customHeight="1">
      <c r="D216" s="629" t="s">
        <v>889</v>
      </c>
      <c r="E216" s="637">
        <f t="shared" ref="E216" si="83">calcServicesProd2Seg1NewCOGS</f>
        <v>441000</v>
      </c>
    </row>
    <row r="217" spans="1:6" ht="12.75" customHeight="1">
      <c r="D217" s="629" t="s">
        <v>888</v>
      </c>
      <c r="E217" s="637">
        <f t="shared" ref="E217" si="84">calcServicesProd2Seg1RenewalCOGS</f>
        <v>828000</v>
      </c>
    </row>
    <row r="218" spans="1:6" ht="12.75" customHeight="1">
      <c r="D218" s="393" t="s">
        <v>50</v>
      </c>
      <c r="E218" s="671">
        <f>SUM(E216:E217)</f>
        <v>1269000</v>
      </c>
      <c r="F218" s="629" t="s">
        <v>1631</v>
      </c>
    </row>
    <row r="221" spans="1:6" s="676" customFormat="1" ht="13.8">
      <c r="B221" s="581" t="str">
        <f>nmProd2Seg2</f>
        <v>Intelligent Cloud SMC</v>
      </c>
      <c r="C221" s="677"/>
      <c r="D221" s="677"/>
      <c r="E221" s="678"/>
    </row>
    <row r="222" spans="1:6" ht="13.8">
      <c r="B222" s="393"/>
    </row>
    <row r="223" spans="1:6" ht="13.8">
      <c r="B223" s="393" t="s">
        <v>2540</v>
      </c>
    </row>
    <row r="224" spans="1:6" s="284" customFormat="1" ht="13.8">
      <c r="A224" s="372"/>
      <c r="D224" s="284" t="s">
        <v>788</v>
      </c>
      <c r="E224" s="679">
        <v>0.05</v>
      </c>
    </row>
    <row r="225" spans="1:13" s="284" customFormat="1" ht="13.8">
      <c r="A225" s="372"/>
      <c r="D225" s="284" t="s">
        <v>787</v>
      </c>
      <c r="E225" s="681">
        <f>SUM(M229:M230)</f>
        <v>0.01</v>
      </c>
      <c r="J225" s="682"/>
      <c r="K225" s="682"/>
      <c r="L225" s="682"/>
      <c r="M225" s="682"/>
    </row>
    <row r="226" spans="1:13" s="284" customFormat="1" ht="13.8">
      <c r="A226" s="372"/>
      <c r="E226" s="366"/>
      <c r="I226" s="680"/>
      <c r="M226" s="683"/>
    </row>
    <row r="227" spans="1:13" s="284" customFormat="1" ht="13.8">
      <c r="A227" s="372"/>
      <c r="C227" s="684"/>
      <c r="D227" s="684"/>
      <c r="E227" s="690" t="s">
        <v>7</v>
      </c>
    </row>
    <row r="228" spans="1:13" s="284" customFormat="1" ht="13.8">
      <c r="A228" s="372"/>
      <c r="D228" s="684" t="s">
        <v>785</v>
      </c>
      <c r="E228" s="319">
        <f t="shared" ref="E228" si="85">obalProd2Seg2ServicesAttachRate</f>
        <v>0.12</v>
      </c>
      <c r="F228" s="366"/>
      <c r="H228" s="284" t="s">
        <v>784</v>
      </c>
    </row>
    <row r="229" spans="1:13" s="284" customFormat="1" ht="13.8">
      <c r="A229" s="372"/>
      <c r="D229" s="707" t="s">
        <v>2541</v>
      </c>
      <c r="E229" s="736">
        <f t="shared" ref="E229" si="86">((cbalCommercialServicesFTEs-obalCommercialServicesFTEs)/100)*$H229</f>
        <v>0</v>
      </c>
      <c r="H229" s="686">
        <v>0.01</v>
      </c>
      <c r="I229" s="284" t="s">
        <v>783</v>
      </c>
      <c r="J229" s="284" t="s">
        <v>782</v>
      </c>
      <c r="K229" s="284" t="s">
        <v>781</v>
      </c>
      <c r="L229" s="284" t="s">
        <v>780</v>
      </c>
      <c r="M229" s="284" t="s">
        <v>779</v>
      </c>
    </row>
    <row r="230" spans="1:13" s="284" customFormat="1" ht="13.8">
      <c r="A230" s="372"/>
      <c r="D230" s="708" t="s">
        <v>466</v>
      </c>
      <c r="E230" s="735">
        <f t="shared" ref="E230" si="87">INDEX($H230:$M230,decCommercialSkill2+1)</f>
        <v>-0.01</v>
      </c>
      <c r="H230" s="685">
        <v>-0.01</v>
      </c>
      <c r="I230" s="686">
        <v>-5.0000000000000001E-3</v>
      </c>
      <c r="J230" s="686">
        <v>0</v>
      </c>
      <c r="K230" s="686">
        <v>2.5000000000000001E-3</v>
      </c>
      <c r="L230" s="686">
        <v>5.0000000000000001E-3</v>
      </c>
      <c r="M230" s="686">
        <v>0.01</v>
      </c>
    </row>
    <row r="231" spans="1:13" s="284" customFormat="1" ht="13.8">
      <c r="A231" s="372"/>
      <c r="D231" s="684" t="s">
        <v>778</v>
      </c>
      <c r="E231" s="687"/>
      <c r="F231" s="284" t="s">
        <v>2536</v>
      </c>
    </row>
    <row r="232" spans="1:13" s="689" customFormat="1" ht="2.1" customHeight="1">
      <c r="A232" s="372"/>
      <c r="B232" s="284"/>
      <c r="D232" s="688"/>
      <c r="E232" s="688"/>
      <c r="H232" s="284"/>
      <c r="I232" s="284"/>
      <c r="J232" s="284"/>
      <c r="K232" s="284"/>
      <c r="L232" s="284"/>
      <c r="M232" s="284"/>
    </row>
    <row r="233" spans="1:13" s="284" customFormat="1" ht="13.8">
      <c r="A233" s="372"/>
      <c r="D233" s="694" t="s">
        <v>777</v>
      </c>
      <c r="E233" s="695">
        <f t="shared" ref="E233" si="88">IF(xxRound=0,E228,SUM(E228:E231))</f>
        <v>0.11</v>
      </c>
      <c r="F233" s="284" t="s">
        <v>2537</v>
      </c>
    </row>
    <row r="234" spans="1:13" ht="13.8"/>
    <row r="235" spans="1:13" ht="13.8">
      <c r="B235" s="393" t="s">
        <v>117</v>
      </c>
    </row>
    <row r="236" spans="1:13" ht="13.8">
      <c r="C236" s="371" t="s">
        <v>1597</v>
      </c>
    </row>
    <row r="237" spans="1:13" ht="13.8">
      <c r="D237" s="372" t="s">
        <v>1612</v>
      </c>
      <c r="E237" s="403">
        <f t="shared" ref="E237" si="89">cbalProd2Seg2NewCustomers</f>
        <v>2503.4651284500005</v>
      </c>
      <c r="G237" s="371"/>
    </row>
    <row r="238" spans="1:13" ht="13.8">
      <c r="D238" s="372" t="s">
        <v>771</v>
      </c>
      <c r="E238" s="668">
        <f t="shared" ref="E238" si="90">calcServicesProd2Seg2Attach</f>
        <v>0.11</v>
      </c>
      <c r="G238" s="371"/>
    </row>
    <row r="239" spans="1:13" ht="13.8">
      <c r="D239" s="629" t="s">
        <v>2193</v>
      </c>
      <c r="E239" s="669">
        <f t="shared" ref="E239" si="91">IF(xxRound=0,obalProd2Seg2NewServicesCust,ROUND((E237*E238),0))</f>
        <v>275</v>
      </c>
      <c r="F239" s="372" t="s">
        <v>2576</v>
      </c>
    </row>
    <row r="241" spans="1:13" ht="12.75" customHeight="1">
      <c r="D241" s="629" t="s">
        <v>188</v>
      </c>
      <c r="E241" s="637">
        <f t="shared" ref="E241" si="92">paramServicesPrice</f>
        <v>15000</v>
      </c>
    </row>
    <row r="243" spans="1:13" ht="12.75" customHeight="1">
      <c r="D243" s="393" t="s">
        <v>117</v>
      </c>
      <c r="E243" s="693">
        <f t="shared" ref="E243" si="93">calcServicesProd2Seg2NewContracts*E241</f>
        <v>4125000</v>
      </c>
      <c r="F243" s="372" t="s">
        <v>2577</v>
      </c>
    </row>
    <row r="245" spans="1:13" ht="13.8">
      <c r="B245" s="393" t="s">
        <v>898</v>
      </c>
      <c r="C245" s="393"/>
    </row>
    <row r="246" spans="1:13" ht="13.8">
      <c r="D246" s="372" t="s">
        <v>886</v>
      </c>
      <c r="E246" s="637">
        <f t="shared" ref="E246" si="94">paramServicesCOGS</f>
        <v>4500</v>
      </c>
      <c r="G246" s="371"/>
    </row>
    <row r="247" spans="1:13" s="399" customFormat="1" ht="2.1" customHeight="1">
      <c r="A247" s="402"/>
      <c r="B247" s="304"/>
      <c r="C247" s="372"/>
      <c r="D247" s="401"/>
      <c r="E247" s="401"/>
      <c r="F247" s="372"/>
      <c r="G247" s="400"/>
    </row>
    <row r="248" spans="1:13" s="370" customFormat="1" ht="16.8">
      <c r="A248" s="372"/>
      <c r="B248" s="372"/>
      <c r="C248" s="372"/>
      <c r="D248" s="372" t="s">
        <v>884</v>
      </c>
      <c r="E248" s="631">
        <f t="shared" ref="E248" si="95">SUM(E246:E246)</f>
        <v>4500</v>
      </c>
      <c r="F248" s="629" t="s">
        <v>2578</v>
      </c>
      <c r="G248" s="372"/>
    </row>
    <row r="250" spans="1:13" ht="12.75" customHeight="1">
      <c r="D250" s="393" t="s">
        <v>2531</v>
      </c>
      <c r="E250" s="693">
        <f t="shared" ref="E250" si="96">calcServicesProd2Seg2NewContracts*E248</f>
        <v>1237500</v>
      </c>
      <c r="F250" s="629" t="s">
        <v>2579</v>
      </c>
    </row>
    <row r="251" spans="1:13" ht="13.8">
      <c r="B251" s="393"/>
    </row>
    <row r="252" spans="1:13" ht="13.8">
      <c r="B252" s="393" t="s">
        <v>888</v>
      </c>
    </row>
    <row r="253" spans="1:13" s="284" customFormat="1" ht="13.8">
      <c r="A253" s="372"/>
      <c r="D253" s="284" t="s">
        <v>788</v>
      </c>
      <c r="E253" s="679">
        <v>0.05</v>
      </c>
    </row>
    <row r="254" spans="1:13" s="284" customFormat="1" ht="13.8">
      <c r="A254" s="372"/>
      <c r="D254" s="284" t="s">
        <v>787</v>
      </c>
      <c r="E254" s="681">
        <f>SUM(M258:M259)</f>
        <v>0.01</v>
      </c>
      <c r="J254" s="682"/>
      <c r="K254" s="682"/>
      <c r="L254" s="682"/>
      <c r="M254" s="682"/>
    </row>
    <row r="255" spans="1:13" s="284" customFormat="1" ht="13.8">
      <c r="A255" s="372"/>
      <c r="E255" s="366"/>
      <c r="I255" s="680"/>
      <c r="M255" s="683"/>
    </row>
    <row r="256" spans="1:13" s="284" customFormat="1" ht="13.8">
      <c r="A256" s="372"/>
      <c r="C256" s="684"/>
      <c r="D256" s="684"/>
      <c r="E256" s="690" t="s">
        <v>7</v>
      </c>
    </row>
    <row r="257" spans="1:13" s="284" customFormat="1" ht="13.8">
      <c r="A257" s="372"/>
      <c r="C257" s="684" t="s">
        <v>791</v>
      </c>
      <c r="D257" s="684"/>
      <c r="E257" s="319">
        <f t="shared" ref="E257" si="97">obalProd2Seg2ServicesRenRate</f>
        <v>0.5</v>
      </c>
      <c r="F257" s="366"/>
      <c r="H257" s="284" t="s">
        <v>784</v>
      </c>
      <c r="I257" s="284" t="s">
        <v>783</v>
      </c>
      <c r="J257" s="284" t="s">
        <v>782</v>
      </c>
      <c r="K257" s="284" t="s">
        <v>781</v>
      </c>
      <c r="L257" s="284" t="s">
        <v>780</v>
      </c>
      <c r="M257" s="284" t="s">
        <v>779</v>
      </c>
    </row>
    <row r="258" spans="1:13" s="284" customFormat="1" ht="13.8">
      <c r="A258" s="372"/>
      <c r="D258" s="707" t="s">
        <v>1782</v>
      </c>
      <c r="E258" s="736">
        <f t="shared" ref="E258" si="98">((cbalCommercialServicesFTEs-obalCommercialServicesFTEs)/100)*$H258</f>
        <v>0</v>
      </c>
      <c r="H258" s="686">
        <v>0.01</v>
      </c>
      <c r="I258" s="284" t="s">
        <v>783</v>
      </c>
      <c r="J258" s="284" t="s">
        <v>782</v>
      </c>
      <c r="K258" s="284" t="s">
        <v>781</v>
      </c>
      <c r="L258" s="284" t="s">
        <v>780</v>
      </c>
      <c r="M258" s="284" t="s">
        <v>779</v>
      </c>
    </row>
    <row r="259" spans="1:13" s="284" customFormat="1" ht="13.8">
      <c r="A259" s="372"/>
      <c r="D259" s="708" t="s">
        <v>465</v>
      </c>
      <c r="E259" s="735">
        <f t="shared" ref="E259" si="99">INDEX($H259:$M259,decCommercialSkill1+1)</f>
        <v>-0.01</v>
      </c>
      <c r="H259" s="685">
        <v>-0.01</v>
      </c>
      <c r="I259" s="686">
        <v>-5.0000000000000001E-3</v>
      </c>
      <c r="J259" s="686">
        <v>0</v>
      </c>
      <c r="K259" s="686">
        <v>2.5000000000000001E-3</v>
      </c>
      <c r="L259" s="686">
        <v>5.0000000000000001E-3</v>
      </c>
      <c r="M259" s="686">
        <v>0.01</v>
      </c>
    </row>
    <row r="260" spans="1:13" s="284" customFormat="1" ht="13.8">
      <c r="A260" s="372"/>
      <c r="D260" s="684" t="s">
        <v>778</v>
      </c>
      <c r="E260" s="696"/>
      <c r="F260" s="284" t="s">
        <v>2580</v>
      </c>
    </row>
    <row r="261" spans="1:13" s="689" customFormat="1" ht="2.1" customHeight="1">
      <c r="A261" s="372"/>
      <c r="B261" s="284"/>
      <c r="D261" s="688"/>
      <c r="E261" s="688"/>
      <c r="H261" s="284"/>
      <c r="I261" s="284"/>
      <c r="J261" s="284"/>
      <c r="K261" s="284"/>
      <c r="L261" s="284"/>
      <c r="M261" s="284"/>
    </row>
    <row r="262" spans="1:13" s="284" customFormat="1" ht="13.8">
      <c r="A262" s="372"/>
      <c r="D262" s="691" t="s">
        <v>770</v>
      </c>
      <c r="E262" s="692">
        <f t="shared" ref="E262" si="100">IF(xxRound=0,E257,SUM(E257:E260))</f>
        <v>0.49</v>
      </c>
      <c r="F262" s="284" t="s">
        <v>2581</v>
      </c>
    </row>
    <row r="263" spans="1:13" ht="13.8"/>
    <row r="264" spans="1:13" ht="13.8">
      <c r="B264" s="393" t="s">
        <v>1613</v>
      </c>
    </row>
    <row r="265" spans="1:13" ht="13.8">
      <c r="C265" s="371" t="s">
        <v>2194</v>
      </c>
    </row>
    <row r="266" spans="1:13" ht="13.8">
      <c r="D266" s="372" t="s">
        <v>1612</v>
      </c>
      <c r="E266" s="403">
        <f t="shared" ref="E266" si="101">obalProd2Seg2TotalServicesCust</f>
        <v>2542.3390472343262</v>
      </c>
      <c r="G266" s="371"/>
    </row>
    <row r="267" spans="1:13" ht="13.8">
      <c r="D267" s="372" t="s">
        <v>772</v>
      </c>
      <c r="E267" s="668">
        <f t="shared" ref="E267" si="102">calcServicesProd2Seg2Renewal</f>
        <v>0.49</v>
      </c>
      <c r="G267" s="371"/>
    </row>
    <row r="268" spans="1:13" ht="13.8">
      <c r="D268" s="629" t="s">
        <v>2195</v>
      </c>
      <c r="E268" s="669">
        <f t="shared" ref="E268" si="103">IF(xxRound=0,obalProd2Seg2RenewedServicesCust,ROUND((E266*E267),0))</f>
        <v>1246</v>
      </c>
      <c r="F268" s="629" t="s">
        <v>2582</v>
      </c>
    </row>
    <row r="270" spans="1:13" ht="12.75" customHeight="1">
      <c r="D270" s="372" t="s">
        <v>1614</v>
      </c>
      <c r="E270" s="637">
        <f t="shared" ref="E270" si="104">paramServicesPrice</f>
        <v>15000</v>
      </c>
    </row>
    <row r="271" spans="1:13" ht="12.75" customHeight="1">
      <c r="E271" s="672"/>
    </row>
    <row r="272" spans="1:13" ht="12.75" customHeight="1">
      <c r="D272" s="372" t="s">
        <v>1613</v>
      </c>
      <c r="E272" s="671">
        <f t="shared" ref="E272" si="105">calcServicesProd2Seg2RenewalContracts*E270</f>
        <v>18690000</v>
      </c>
      <c r="F272" s="629" t="s">
        <v>2583</v>
      </c>
    </row>
    <row r="275" spans="1:7" ht="13.8">
      <c r="B275" s="393" t="s">
        <v>1624</v>
      </c>
      <c r="C275" s="393"/>
    </row>
    <row r="276" spans="1:7" ht="13.8">
      <c r="D276" s="372" t="s">
        <v>886</v>
      </c>
      <c r="E276" s="637">
        <f t="shared" ref="E276" si="106">paramServicesCOGS</f>
        <v>4500</v>
      </c>
      <c r="G276" s="371"/>
    </row>
    <row r="277" spans="1:7" s="399" customFormat="1" ht="2.1" customHeight="1">
      <c r="A277" s="402"/>
      <c r="B277" s="304"/>
      <c r="C277" s="372"/>
      <c r="D277" s="401"/>
      <c r="E277" s="401"/>
      <c r="F277" s="372"/>
      <c r="G277" s="400"/>
    </row>
    <row r="278" spans="1:7" s="370" customFormat="1" ht="16.8">
      <c r="A278" s="372"/>
      <c r="B278" s="372"/>
      <c r="C278" s="372"/>
      <c r="D278" s="372" t="s">
        <v>884</v>
      </c>
      <c r="E278" s="631">
        <f t="shared" ref="E278" si="107">SUM(E276:E276)</f>
        <v>4500</v>
      </c>
      <c r="F278" s="629" t="s">
        <v>2584</v>
      </c>
      <c r="G278" s="372"/>
    </row>
    <row r="280" spans="1:7" ht="12.75" customHeight="1">
      <c r="D280" s="393" t="s">
        <v>1624</v>
      </c>
      <c r="E280" s="693">
        <f t="shared" ref="E280" si="108">calcServicesProd2Seg2RenewalContracts*E278</f>
        <v>5607000</v>
      </c>
      <c r="F280" s="629" t="s">
        <v>2585</v>
      </c>
    </row>
    <row r="282" spans="1:7" ht="12.75" customHeight="1">
      <c r="B282" s="393" t="s">
        <v>903</v>
      </c>
    </row>
    <row r="283" spans="1:7" ht="12.75" customHeight="1">
      <c r="D283" s="629" t="s">
        <v>889</v>
      </c>
      <c r="E283" s="637">
        <f t="shared" ref="E283" si="109">calcServicesProd2Seg2NewRev</f>
        <v>4125000</v>
      </c>
    </row>
    <row r="284" spans="1:7" ht="12.75" customHeight="1">
      <c r="D284" s="629" t="s">
        <v>888</v>
      </c>
      <c r="E284" s="637">
        <f t="shared" ref="E284" si="110">calcServicesProd2Seg2RenewalRev</f>
        <v>18690000</v>
      </c>
    </row>
    <row r="285" spans="1:7" ht="12.75" customHeight="1">
      <c r="D285" s="393" t="s">
        <v>50</v>
      </c>
      <c r="E285" s="671">
        <f>SUM(E283:E284)</f>
        <v>22815000</v>
      </c>
      <c r="F285" s="629" t="s">
        <v>1629</v>
      </c>
    </row>
    <row r="287" spans="1:7" ht="12.75" customHeight="1">
      <c r="B287" s="393" t="s">
        <v>1626</v>
      </c>
    </row>
    <row r="288" spans="1:7" ht="12.75" customHeight="1">
      <c r="D288" s="629" t="s">
        <v>889</v>
      </c>
      <c r="E288" s="637">
        <f t="shared" ref="E288" si="111">calcServicesProd2Seg2NewCOGS</f>
        <v>1237500</v>
      </c>
    </row>
    <row r="289" spans="4:6" ht="12.75" customHeight="1">
      <c r="D289" s="629" t="s">
        <v>888</v>
      </c>
      <c r="E289" s="637">
        <f t="shared" ref="E289" si="112">calcServicesProd2Seg2RenewalCOGS</f>
        <v>5607000</v>
      </c>
    </row>
    <row r="290" spans="4:6" ht="12.75" customHeight="1">
      <c r="D290" s="393" t="s">
        <v>50</v>
      </c>
      <c r="E290" s="671">
        <f>SUM(E288:E289)</f>
        <v>6844500</v>
      </c>
      <c r="F290" s="629" t="s">
        <v>1630</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2"/>
  </sheetPr>
  <dimension ref="A1:L114"/>
  <sheetViews>
    <sheetView workbookViewId="0">
      <selection activeCell="H18" sqref="H18"/>
    </sheetView>
  </sheetViews>
  <sheetFormatPr defaultColWidth="15.26953125" defaultRowHeight="12.75" customHeight="1"/>
  <cols>
    <col min="1" max="2" width="2.36328125" style="653" customWidth="1"/>
    <col min="3" max="3" width="2.7265625" style="653" customWidth="1"/>
    <col min="4" max="4" width="28.90625" style="653" customWidth="1"/>
    <col min="5" max="5" width="14.81640625" style="654" customWidth="1"/>
    <col min="6" max="6" width="20.453125" style="653" customWidth="1"/>
    <col min="7" max="7" width="7.453125" style="653" customWidth="1"/>
    <col min="8" max="16384" width="15.26953125" style="653"/>
  </cols>
  <sheetData>
    <row r="1" spans="1:12" s="874" customFormat="1" ht="16.2">
      <c r="A1" s="873" t="s">
        <v>1536</v>
      </c>
      <c r="B1" s="873"/>
      <c r="E1" s="874" t="s">
        <v>7</v>
      </c>
      <c r="G1" s="875"/>
      <c r="H1" s="875"/>
      <c r="I1" s="875"/>
      <c r="J1" s="875"/>
      <c r="L1" s="873"/>
    </row>
    <row r="2" spans="1:12" s="874" customFormat="1" ht="16.2">
      <c r="A2" s="876" t="s">
        <v>2630</v>
      </c>
      <c r="B2" s="873"/>
      <c r="E2" s="874" t="b">
        <f>xxNumOfTeams&gt;0</f>
        <v>1</v>
      </c>
      <c r="F2" s="873" t="s">
        <v>2638</v>
      </c>
      <c r="G2" s="875"/>
      <c r="H2" s="875"/>
      <c r="I2" s="875"/>
      <c r="J2" s="875"/>
      <c r="L2" s="873"/>
    </row>
    <row r="3" spans="1:12" s="651" customFormat="1" ht="19.2">
      <c r="A3" s="651" t="s">
        <v>1551</v>
      </c>
      <c r="E3" s="652"/>
    </row>
    <row r="4" spans="1:12" ht="19.2"/>
    <row r="5" spans="1:12" s="655" customFormat="1" ht="19.2">
      <c r="B5" s="656" t="str">
        <f>nmProd3Seg1</f>
        <v>Personal Computing Enterprise</v>
      </c>
      <c r="C5" s="656"/>
      <c r="D5" s="656"/>
      <c r="E5" s="657"/>
    </row>
    <row r="6" spans="1:12" ht="19.2"/>
    <row r="7" spans="1:12" ht="19.2">
      <c r="C7" s="658" t="s">
        <v>1560</v>
      </c>
    </row>
    <row r="8" spans="1:12" ht="19.2">
      <c r="D8" s="653" t="s">
        <v>1535</v>
      </c>
      <c r="E8" s="659">
        <f t="shared" ref="E8" si="0">cbalOpsProd3Seg1Share</f>
        <v>9.0000000000000011E-2</v>
      </c>
      <c r="F8" s="653" t="s">
        <v>1552</v>
      </c>
      <c r="G8" s="660"/>
    </row>
    <row r="9" spans="1:12" ht="19.2"/>
    <row r="10" spans="1:12" ht="19.2">
      <c r="D10" s="653" t="s">
        <v>1550</v>
      </c>
      <c r="E10" s="661">
        <f t="shared" ref="E10" si="1">IF(xxSim0Tool1=1,decCommercialProd3Seg1Share*INDEX(dataProd3Seg1MarketUnits,xxRound+1),mmProd3Seg1UnitsSold)</f>
        <v>368734.41000000003</v>
      </c>
      <c r="F10" s="653" t="s">
        <v>1553</v>
      </c>
      <c r="G10" s="660"/>
    </row>
    <row r="11" spans="1:12" ht="19.2"/>
    <row r="12" spans="1:12" ht="19.2">
      <c r="C12" s="658"/>
      <c r="D12" s="653" t="s">
        <v>188</v>
      </c>
      <c r="E12" s="662">
        <f t="shared" ref="E12" si="2">calcCommercialProd3Price</f>
        <v>320</v>
      </c>
      <c r="F12" s="653" t="s">
        <v>1554</v>
      </c>
      <c r="G12" s="660"/>
    </row>
    <row r="13" spans="1:12" ht="19.2"/>
    <row r="14" spans="1:12" ht="19.2">
      <c r="D14" s="653" t="s">
        <v>903</v>
      </c>
      <c r="E14" s="663">
        <f t="shared" ref="E14" si="3">calcProd3Seg1NewUnits*calcProd3Seg1Price</f>
        <v>117995011.20000002</v>
      </c>
      <c r="F14" s="653" t="s">
        <v>1561</v>
      </c>
    </row>
    <row r="15" spans="1:12" ht="19.2"/>
    <row r="16" spans="1:12" ht="19.2">
      <c r="C16" s="658" t="s">
        <v>1549</v>
      </c>
    </row>
    <row r="17" spans="3:7" ht="19.2">
      <c r="C17" s="658"/>
    </row>
    <row r="18" spans="3:7" ht="19.2">
      <c r="C18" s="660" t="s">
        <v>1775</v>
      </c>
    </row>
    <row r="19" spans="3:7" ht="19.2">
      <c r="D19" s="653" t="s">
        <v>1547</v>
      </c>
      <c r="E19" s="662">
        <f t="shared" ref="E19" si="4">obalProd3BaseMatCOGS</f>
        <v>96</v>
      </c>
      <c r="G19" s="660"/>
    </row>
    <row r="20" spans="3:7" s="731" customFormat="1" ht="19.2">
      <c r="D20" s="731" t="s">
        <v>1761</v>
      </c>
      <c r="E20" s="729">
        <f t="shared" ref="E20" si="5">decEGSecurity*paramEGPlatformCOGSPLevel</f>
        <v>0</v>
      </c>
    </row>
    <row r="21" spans="3:7" s="731" customFormat="1" ht="19.2">
      <c r="D21" s="731" t="s">
        <v>1762</v>
      </c>
      <c r="E21" s="729">
        <f t="shared" ref="E21" si="6">decEGInteroperability*paramEGPlatformCOGSPLevel</f>
        <v>0</v>
      </c>
    </row>
    <row r="22" spans="3:7" s="731" customFormat="1" ht="19.2">
      <c r="D22" s="731" t="s">
        <v>1763</v>
      </c>
      <c r="E22" s="729">
        <f t="shared" ref="E22" si="7">decEGScalability*paramEGPlatformCOGSPLevel</f>
        <v>0</v>
      </c>
    </row>
    <row r="23" spans="3:7" s="731" customFormat="1" ht="19.2">
      <c r="D23" s="731" t="str">
        <f>nmProd3Offering1&amp;" Investments"</f>
        <v>Doors OS Investments</v>
      </c>
      <c r="E23" s="729">
        <f t="shared" ref="E23" si="8">decEGProd3Offering1*paramEGOfferingCOGSPLevel</f>
        <v>0</v>
      </c>
    </row>
    <row r="24" spans="3:7" s="731" customFormat="1" ht="19.2">
      <c r="D24" s="731" t="str">
        <f>nmProd3Offering2&amp;" Investments"</f>
        <v>Devices Investments</v>
      </c>
      <c r="E24" s="729">
        <f t="shared" ref="E24" si="9">decEGProd3Offering2*paramEGOfferingCOGSPLevel</f>
        <v>0</v>
      </c>
    </row>
    <row r="25" spans="3:7" s="731" customFormat="1" ht="19.2">
      <c r="D25" s="731" t="s">
        <v>1764</v>
      </c>
      <c r="E25" s="730">
        <f t="shared" ref="E25" si="10">SUM(E19:E24)</f>
        <v>96</v>
      </c>
      <c r="F25" s="653" t="s">
        <v>2843</v>
      </c>
      <c r="G25" s="732"/>
    </row>
    <row r="26" spans="3:7" ht="19.2">
      <c r="C26" s="658"/>
    </row>
    <row r="27" spans="3:7" ht="19.2">
      <c r="D27" s="653" t="s">
        <v>1548</v>
      </c>
      <c r="E27" s="664">
        <f t="shared" ref="E27" si="11">calcProd3Seg1NewUnits</f>
        <v>368734.41000000003</v>
      </c>
      <c r="G27" s="660"/>
    </row>
    <row r="28" spans="3:7" ht="19.2">
      <c r="D28" s="653" t="s">
        <v>1545</v>
      </c>
      <c r="E28" s="663">
        <f t="shared" ref="E28" si="12">calcProd3Seg1BaseMatExp*E27</f>
        <v>35398503.359999999</v>
      </c>
      <c r="F28" s="653" t="s">
        <v>1555</v>
      </c>
      <c r="G28" s="660"/>
    </row>
    <row r="29" spans="3:7" ht="19.2">
      <c r="E29" s="665"/>
      <c r="G29" s="660"/>
    </row>
    <row r="30" spans="3:7" ht="19.2">
      <c r="C30" s="660" t="s">
        <v>1776</v>
      </c>
    </row>
    <row r="31" spans="3:7" ht="19.2">
      <c r="D31" s="653" t="s">
        <v>1547</v>
      </c>
      <c r="E31" s="662">
        <f t="shared" ref="E31" si="13">paramProd3LaborCOGSPNewUnit</f>
        <v>80</v>
      </c>
      <c r="G31" s="660"/>
    </row>
    <row r="32" spans="3:7" ht="19.2">
      <c r="D32" s="653" t="s">
        <v>1546</v>
      </c>
      <c r="E32" s="664">
        <f t="shared" ref="E32" si="14">calcProd3Seg1NewUnits</f>
        <v>368734.41000000003</v>
      </c>
      <c r="G32" s="660"/>
    </row>
    <row r="33" spans="2:7" ht="19.2">
      <c r="D33" s="653" t="s">
        <v>1545</v>
      </c>
      <c r="E33" s="663">
        <f t="shared" ref="E33" si="15">E31*E32</f>
        <v>29498752.800000004</v>
      </c>
      <c r="F33" s="653" t="s">
        <v>1556</v>
      </c>
      <c r="G33" s="660"/>
    </row>
    <row r="34" spans="2:7" ht="19.2">
      <c r="E34" s="666"/>
      <c r="G34" s="660"/>
    </row>
    <row r="35" spans="2:7" ht="19.2">
      <c r="C35" s="660" t="s">
        <v>1544</v>
      </c>
      <c r="E35" s="663">
        <f t="shared" ref="E35" si="16">E33+E28</f>
        <v>64897256.160000004</v>
      </c>
      <c r="F35" s="653" t="s">
        <v>1562</v>
      </c>
      <c r="G35" s="660"/>
    </row>
    <row r="36" spans="2:7" ht="19.2"/>
    <row r="37" spans="2:7" ht="19.2">
      <c r="C37" s="658" t="s">
        <v>1543</v>
      </c>
    </row>
    <row r="38" spans="2:7" ht="19.2">
      <c r="D38" s="653" t="s">
        <v>1542</v>
      </c>
      <c r="E38" s="667">
        <f t="shared" ref="E38" si="17">E19</f>
        <v>96</v>
      </c>
    </row>
    <row r="39" spans="2:7" ht="19.2">
      <c r="D39" s="653" t="s">
        <v>1541</v>
      </c>
      <c r="E39" s="667">
        <f>E31</f>
        <v>80</v>
      </c>
    </row>
    <row r="40" spans="2:7" ht="19.2">
      <c r="C40" s="660" t="s">
        <v>1540</v>
      </c>
      <c r="E40" s="667">
        <f t="shared" ref="E40" si="18">SUM(E38:E39)</f>
        <v>176</v>
      </c>
      <c r="F40" s="653" t="s">
        <v>1557</v>
      </c>
    </row>
    <row r="41" spans="2:7" ht="19.2"/>
    <row r="42" spans="2:7" s="655" customFormat="1" ht="19.2">
      <c r="B42" s="656" t="str">
        <f>nmProd3Seg2</f>
        <v>Personal Computing SMC</v>
      </c>
      <c r="C42" s="656"/>
      <c r="D42" s="656"/>
      <c r="E42" s="657"/>
    </row>
    <row r="43" spans="2:7" ht="19.2"/>
    <row r="44" spans="2:7" ht="19.2">
      <c r="C44" s="658" t="s">
        <v>1560</v>
      </c>
    </row>
    <row r="45" spans="2:7" ht="19.2">
      <c r="D45" s="653" t="s">
        <v>1535</v>
      </c>
      <c r="E45" s="659">
        <f t="shared" ref="E45" si="19">cbalOpsProd3Seg2Share</f>
        <v>9.0000000000000011E-2</v>
      </c>
      <c r="F45" s="653" t="s">
        <v>1563</v>
      </c>
      <c r="G45" s="660"/>
    </row>
    <row r="46" spans="2:7" ht="19.2"/>
    <row r="47" spans="2:7" ht="19.2">
      <c r="D47" s="653" t="s">
        <v>1550</v>
      </c>
      <c r="E47" s="661">
        <f t="shared" ref="E47" si="20">IF(xxSim0Tool1=1,decCommercialProd3Seg2Share*INDEX(dataProd3Seg2MarketUnits,xxRound+1),mmProd3Seg2UnitsSold)</f>
        <v>307278.18000000005</v>
      </c>
      <c r="F47" s="653" t="s">
        <v>1564</v>
      </c>
      <c r="G47" s="660"/>
    </row>
    <row r="48" spans="2:7" ht="19.2"/>
    <row r="49" spans="3:7" ht="19.2">
      <c r="C49" s="658"/>
      <c r="D49" s="653" t="s">
        <v>188</v>
      </c>
      <c r="E49" s="662">
        <f t="shared" ref="E49" si="21">calcCommercialProd3Price</f>
        <v>320</v>
      </c>
      <c r="F49" s="653" t="s">
        <v>1565</v>
      </c>
      <c r="G49" s="660"/>
    </row>
    <row r="50" spans="3:7" ht="19.2"/>
    <row r="51" spans="3:7" ht="19.2">
      <c r="D51" s="653" t="s">
        <v>903</v>
      </c>
      <c r="E51" s="663">
        <f t="shared" ref="E51" si="22">calcProd3Seg2NewUnits*calcProd3Seg2Price</f>
        <v>98329017.600000024</v>
      </c>
      <c r="F51" s="653" t="s">
        <v>1566</v>
      </c>
    </row>
    <row r="52" spans="3:7" ht="19.2"/>
    <row r="53" spans="3:7" ht="19.2">
      <c r="C53" s="658" t="s">
        <v>1549</v>
      </c>
    </row>
    <row r="54" spans="3:7" ht="19.2">
      <c r="C54" s="658"/>
    </row>
    <row r="55" spans="3:7" ht="19.2">
      <c r="C55" s="660" t="s">
        <v>1775</v>
      </c>
    </row>
    <row r="56" spans="3:7" ht="19.2">
      <c r="D56" s="653" t="s">
        <v>1547</v>
      </c>
      <c r="E56" s="662">
        <f t="shared" ref="E56" si="23">paramProd3MatCOGSPNewUnit</f>
        <v>96</v>
      </c>
      <c r="G56" s="660"/>
    </row>
    <row r="57" spans="3:7" s="731" customFormat="1" ht="19.2">
      <c r="D57" s="731" t="s">
        <v>1761</v>
      </c>
      <c r="E57" s="729">
        <f t="shared" ref="E57" si="24">decEGSecurity*paramEGPlatformCOGSPLevel</f>
        <v>0</v>
      </c>
    </row>
    <row r="58" spans="3:7" s="731" customFormat="1" ht="19.2">
      <c r="D58" s="731" t="s">
        <v>1762</v>
      </c>
      <c r="E58" s="729">
        <f t="shared" ref="E58" si="25">decEGInteroperability*paramEGPlatformCOGSPLevel</f>
        <v>0</v>
      </c>
    </row>
    <row r="59" spans="3:7" s="731" customFormat="1" ht="19.2">
      <c r="D59" s="731" t="s">
        <v>1763</v>
      </c>
      <c r="E59" s="729">
        <f t="shared" ref="E59" si="26">decEGScalability*paramEGPlatformCOGSPLevel</f>
        <v>0</v>
      </c>
    </row>
    <row r="60" spans="3:7" s="731" customFormat="1" ht="19.2">
      <c r="D60" s="731" t="str">
        <f>nmProd3Offering1&amp;" Investments"</f>
        <v>Doors OS Investments</v>
      </c>
      <c r="E60" s="729">
        <f t="shared" ref="E60" si="27">decEGProd3Offering1*paramEGOfferingCOGSPLevel</f>
        <v>0</v>
      </c>
    </row>
    <row r="61" spans="3:7" s="731" customFormat="1" ht="19.2">
      <c r="D61" s="731" t="str">
        <f>nmProd3Offering2&amp;" Investments"</f>
        <v>Devices Investments</v>
      </c>
      <c r="E61" s="729">
        <f t="shared" ref="E61" si="28">decEGProd3Offering2*paramEGOfferingCOGSPLevel</f>
        <v>0</v>
      </c>
    </row>
    <row r="62" spans="3:7" s="731" customFormat="1" ht="19.2">
      <c r="D62" s="731" t="s">
        <v>1764</v>
      </c>
      <c r="E62" s="730">
        <f t="shared" ref="E62" si="29">SUM(E56:E61)</f>
        <v>96</v>
      </c>
      <c r="F62" s="653" t="s">
        <v>1773</v>
      </c>
      <c r="G62" s="732"/>
    </row>
    <row r="63" spans="3:7" ht="19.2">
      <c r="C63" s="658"/>
      <c r="E63" s="665"/>
      <c r="G63" s="660"/>
    </row>
    <row r="64" spans="3:7" ht="19.2">
      <c r="D64" s="653" t="s">
        <v>1548</v>
      </c>
      <c r="E64" s="664">
        <f t="shared" ref="E64" si="30">calcProd3Seg2NewUnits</f>
        <v>307278.18000000005</v>
      </c>
      <c r="G64" s="660"/>
    </row>
    <row r="65" spans="2:7" ht="19.2">
      <c r="D65" s="653" t="s">
        <v>1545</v>
      </c>
      <c r="E65" s="663">
        <f t="shared" ref="E65" si="31">calcProd3Seg2BaseMatExp*E64</f>
        <v>29498705.280000005</v>
      </c>
      <c r="F65" s="653" t="s">
        <v>1567</v>
      </c>
      <c r="G65" s="660"/>
    </row>
    <row r="66" spans="2:7" ht="19.2">
      <c r="E66" s="665"/>
      <c r="G66" s="660"/>
    </row>
    <row r="67" spans="2:7" ht="19.2">
      <c r="C67" s="660" t="s">
        <v>1776</v>
      </c>
    </row>
    <row r="68" spans="2:7" ht="19.2">
      <c r="D68" s="653" t="s">
        <v>1547</v>
      </c>
      <c r="E68" s="662">
        <f t="shared" ref="E68" si="32">paramProd3LaborCOGSPNewUnit</f>
        <v>80</v>
      </c>
      <c r="G68" s="660"/>
    </row>
    <row r="69" spans="2:7" ht="19.2">
      <c r="D69" s="653" t="s">
        <v>1546</v>
      </c>
      <c r="E69" s="664">
        <f t="shared" ref="E69" si="33">calcProd3Seg2NewUnits</f>
        <v>307278.18000000005</v>
      </c>
      <c r="G69" s="660"/>
    </row>
    <row r="70" spans="2:7" ht="19.2">
      <c r="D70" s="653" t="s">
        <v>1545</v>
      </c>
      <c r="E70" s="663">
        <f t="shared" ref="E70" si="34">E68*E69</f>
        <v>24582254.400000006</v>
      </c>
      <c r="F70" s="653" t="s">
        <v>1568</v>
      </c>
      <c r="G70" s="660"/>
    </row>
    <row r="71" spans="2:7" ht="19.2">
      <c r="E71" s="666"/>
      <c r="G71" s="660"/>
    </row>
    <row r="72" spans="2:7" ht="19.2">
      <c r="C72" s="660" t="s">
        <v>1544</v>
      </c>
      <c r="E72" s="663">
        <f t="shared" ref="E72" si="35">E70+E65</f>
        <v>54080959.680000007</v>
      </c>
      <c r="F72" s="653" t="s">
        <v>1569</v>
      </c>
      <c r="G72" s="660"/>
    </row>
    <row r="73" spans="2:7" ht="19.2"/>
    <row r="74" spans="2:7" ht="19.2">
      <c r="C74" s="658" t="s">
        <v>1543</v>
      </c>
    </row>
    <row r="75" spans="2:7" ht="19.2">
      <c r="D75" s="653" t="s">
        <v>1542</v>
      </c>
      <c r="E75" s="667">
        <f t="shared" ref="E75" si="36">E56</f>
        <v>96</v>
      </c>
    </row>
    <row r="76" spans="2:7" ht="19.2">
      <c r="D76" s="653" t="s">
        <v>1541</v>
      </c>
      <c r="E76" s="667">
        <f>E68</f>
        <v>80</v>
      </c>
    </row>
    <row r="77" spans="2:7" ht="19.2">
      <c r="C77" s="660" t="s">
        <v>1540</v>
      </c>
      <c r="E77" s="667">
        <f t="shared" ref="E77" si="37">SUM(E75:E76)</f>
        <v>176</v>
      </c>
      <c r="F77" s="653" t="s">
        <v>1570</v>
      </c>
    </row>
    <row r="79" spans="2:7" s="655" customFormat="1" ht="19.2">
      <c r="B79" s="656" t="str">
        <f>nmProd3Seg3</f>
        <v>Personal Computing Consumer</v>
      </c>
      <c r="C79" s="656"/>
      <c r="D79" s="656"/>
      <c r="E79" s="657"/>
    </row>
    <row r="80" spans="2:7" ht="19.2"/>
    <row r="81" spans="3:7" ht="19.2">
      <c r="C81" s="658" t="s">
        <v>1560</v>
      </c>
    </row>
    <row r="82" spans="3:7" ht="19.2">
      <c r="D82" s="653" t="s">
        <v>1535</v>
      </c>
      <c r="E82" s="659">
        <f t="shared" ref="E82" si="38">cbalOpsProd3Seg3Share</f>
        <v>9.0000000000000011E-2</v>
      </c>
      <c r="F82" s="653" t="s">
        <v>1571</v>
      </c>
      <c r="G82" s="660"/>
    </row>
    <row r="83" spans="3:7" ht="19.2"/>
    <row r="84" spans="3:7" ht="19.2">
      <c r="D84" s="653" t="s">
        <v>1550</v>
      </c>
      <c r="E84" s="661">
        <f t="shared" ref="E84" si="39">IF(xxSim0Tool1=1,decConsumerProd3Seg3Share*INDEX(dataProd3Seg3MarketUnits,xxRound+1),mmProd3Seg3UnitsSold)</f>
        <v>553102.1100000001</v>
      </c>
      <c r="F84" s="653" t="s">
        <v>1572</v>
      </c>
      <c r="G84" s="660"/>
    </row>
    <row r="85" spans="3:7" ht="19.2"/>
    <row r="86" spans="3:7" ht="19.2">
      <c r="C86" s="658"/>
      <c r="D86" s="653" t="s">
        <v>188</v>
      </c>
      <c r="E86" s="662">
        <f t="shared" ref="E86" si="40">calcConsumerProd3Price</f>
        <v>320</v>
      </c>
      <c r="F86" s="653" t="s">
        <v>1573</v>
      </c>
      <c r="G86" s="660"/>
    </row>
    <row r="87" spans="3:7" ht="19.2"/>
    <row r="88" spans="3:7" ht="19.2">
      <c r="D88" s="653" t="s">
        <v>903</v>
      </c>
      <c r="E88" s="663">
        <f t="shared" ref="E88" si="41">calcProd3Seg3NewUnits*calcProd3Seg3Price</f>
        <v>176992675.20000005</v>
      </c>
      <c r="F88" s="653" t="s">
        <v>1574</v>
      </c>
    </row>
    <row r="89" spans="3:7" ht="19.2"/>
    <row r="90" spans="3:7" ht="19.2">
      <c r="C90" s="658" t="s">
        <v>1549</v>
      </c>
    </row>
    <row r="91" spans="3:7" ht="19.2">
      <c r="C91" s="658"/>
    </row>
    <row r="92" spans="3:7" ht="19.2">
      <c r="C92" s="660" t="s">
        <v>1775</v>
      </c>
    </row>
    <row r="93" spans="3:7" ht="19.2">
      <c r="D93" s="653" t="s">
        <v>1547</v>
      </c>
      <c r="E93" s="662">
        <f t="shared" ref="E93" si="42">paramProd3MatCOGSPNewUnit</f>
        <v>96</v>
      </c>
      <c r="G93" s="660"/>
    </row>
    <row r="94" spans="3:7" s="731" customFormat="1" ht="19.2">
      <c r="D94" s="731" t="s">
        <v>1761</v>
      </c>
      <c r="E94" s="729">
        <f t="shared" ref="E94" si="43">decEGSecurity*paramEGPlatformCOGSPLevel</f>
        <v>0</v>
      </c>
    </row>
    <row r="95" spans="3:7" s="731" customFormat="1" ht="19.2">
      <c r="D95" s="731" t="s">
        <v>1762</v>
      </c>
      <c r="E95" s="729">
        <f t="shared" ref="E95" si="44">decEGInteroperability*paramEGPlatformCOGSPLevel</f>
        <v>0</v>
      </c>
    </row>
    <row r="96" spans="3:7" s="731" customFormat="1" ht="19.2">
      <c r="D96" s="731" t="s">
        <v>1763</v>
      </c>
      <c r="E96" s="729">
        <f t="shared" ref="E96" si="45">decEGScalability*paramEGPlatformCOGSPLevel</f>
        <v>0</v>
      </c>
    </row>
    <row r="97" spans="3:7" s="731" customFormat="1" ht="19.2">
      <c r="D97" s="731" t="str">
        <f>nmProd3Offering1&amp;" Investments"</f>
        <v>Doors OS Investments</v>
      </c>
      <c r="E97" s="729">
        <f t="shared" ref="E97" si="46">decEGProd3Offering1*paramEGOfferingCOGSPLevel</f>
        <v>0</v>
      </c>
    </row>
    <row r="98" spans="3:7" s="731" customFormat="1" ht="19.2">
      <c r="D98" s="731" t="str">
        <f>nmProd3Offering2&amp;" Investments"</f>
        <v>Devices Investments</v>
      </c>
      <c r="E98" s="729">
        <f t="shared" ref="E98" si="47">decEGProd3Offering2*paramEGOfferingCOGSPLevel</f>
        <v>0</v>
      </c>
    </row>
    <row r="99" spans="3:7" s="731" customFormat="1" ht="19.2">
      <c r="D99" s="731" t="s">
        <v>1764</v>
      </c>
      <c r="E99" s="730">
        <f t="shared" ref="E99" si="48">SUM(E93:E98)</f>
        <v>96</v>
      </c>
      <c r="F99" s="653" t="s">
        <v>1774</v>
      </c>
      <c r="G99" s="732"/>
    </row>
    <row r="100" spans="3:7" ht="19.2">
      <c r="C100" s="658"/>
      <c r="E100" s="665"/>
      <c r="G100" s="660"/>
    </row>
    <row r="101" spans="3:7" ht="19.2">
      <c r="D101" s="653" t="s">
        <v>1548</v>
      </c>
      <c r="E101" s="664">
        <f t="shared" ref="E101" si="49">calcProd3Seg3NewUnits</f>
        <v>553102.1100000001</v>
      </c>
      <c r="G101" s="660"/>
    </row>
    <row r="102" spans="3:7" ht="19.2">
      <c r="D102" s="653" t="s">
        <v>1545</v>
      </c>
      <c r="E102" s="663">
        <f t="shared" ref="E102" si="50">calcProd3Seg3BaseMatExp*E101</f>
        <v>53097802.56000001</v>
      </c>
      <c r="F102" s="653" t="s">
        <v>1575</v>
      </c>
      <c r="G102" s="660"/>
    </row>
    <row r="103" spans="3:7" ht="19.2">
      <c r="E103" s="665"/>
      <c r="G103" s="660"/>
    </row>
    <row r="104" spans="3:7" ht="19.2">
      <c r="C104" s="660" t="s">
        <v>1776</v>
      </c>
    </row>
    <row r="105" spans="3:7" ht="19.2">
      <c r="D105" s="653" t="s">
        <v>1547</v>
      </c>
      <c r="E105" s="662">
        <f t="shared" ref="E105" si="51">paramProd3LaborCOGSPNewUnit</f>
        <v>80</v>
      </c>
      <c r="G105" s="660"/>
    </row>
    <row r="106" spans="3:7" ht="19.2">
      <c r="D106" s="653" t="s">
        <v>1546</v>
      </c>
      <c r="E106" s="664">
        <f t="shared" ref="E106" si="52">calcProd3Seg3NewUnits</f>
        <v>553102.1100000001</v>
      </c>
      <c r="G106" s="660"/>
    </row>
    <row r="107" spans="3:7" ht="19.2">
      <c r="D107" s="653" t="s">
        <v>1545</v>
      </c>
      <c r="E107" s="663">
        <f t="shared" ref="E107" si="53">E105*E106</f>
        <v>44248168.800000012</v>
      </c>
      <c r="F107" s="653" t="s">
        <v>1576</v>
      </c>
      <c r="G107" s="660"/>
    </row>
    <row r="108" spans="3:7" ht="19.2">
      <c r="E108" s="666"/>
      <c r="G108" s="660"/>
    </row>
    <row r="109" spans="3:7" ht="19.2">
      <c r="C109" s="660" t="s">
        <v>1544</v>
      </c>
      <c r="E109" s="663">
        <f t="shared" ref="E109" si="54">E107+E102</f>
        <v>97345971.360000014</v>
      </c>
      <c r="F109" s="653" t="s">
        <v>1577</v>
      </c>
      <c r="G109" s="660"/>
    </row>
    <row r="110" spans="3:7" ht="19.2"/>
    <row r="111" spans="3:7" ht="19.2">
      <c r="C111" s="658" t="s">
        <v>1543</v>
      </c>
    </row>
    <row r="112" spans="3:7" ht="19.2">
      <c r="D112" s="653" t="s">
        <v>1542</v>
      </c>
      <c r="E112" s="667">
        <f t="shared" ref="E112" si="55">E93</f>
        <v>96</v>
      </c>
    </row>
    <row r="113" spans="3:6" ht="19.2">
      <c r="D113" s="653" t="s">
        <v>1541</v>
      </c>
      <c r="E113" s="667">
        <f>E105</f>
        <v>80</v>
      </c>
    </row>
    <row r="114" spans="3:6" ht="19.2">
      <c r="C114" s="660" t="s">
        <v>1540</v>
      </c>
      <c r="E114" s="667">
        <f t="shared" ref="E114" si="56">SUM(E112:E113)</f>
        <v>176</v>
      </c>
      <c r="F114" s="653" t="s">
        <v>1578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2"/>
  </sheetPr>
  <dimension ref="A1:Q112"/>
  <sheetViews>
    <sheetView topLeftCell="A19" workbookViewId="0">
      <selection activeCell="H37" sqref="H37"/>
    </sheetView>
  </sheetViews>
  <sheetFormatPr defaultColWidth="15.26953125" defaultRowHeight="12.75" customHeight="1"/>
  <cols>
    <col min="1" max="2" width="2.36328125" style="372" customWidth="1"/>
    <col min="3" max="3" width="2.7265625" style="372" customWidth="1"/>
    <col min="4" max="4" width="26" style="372" customWidth="1"/>
    <col min="5" max="5" width="14.81640625" style="372" customWidth="1"/>
    <col min="6" max="6" width="20.453125" style="372" customWidth="1"/>
    <col min="7" max="7" width="7.453125" style="372" customWidth="1"/>
    <col min="8" max="16384" width="15.26953125" style="372"/>
  </cols>
  <sheetData>
    <row r="1" spans="1:17" s="874" customFormat="1" ht="16.2">
      <c r="A1" s="873" t="s">
        <v>1665</v>
      </c>
      <c r="B1" s="873"/>
      <c r="E1" s="874" t="s">
        <v>7</v>
      </c>
      <c r="G1" s="875"/>
      <c r="H1" s="875"/>
      <c r="I1" s="875"/>
      <c r="J1" s="875"/>
      <c r="L1" s="873"/>
    </row>
    <row r="2" spans="1:17" s="874" customFormat="1" ht="16.2">
      <c r="A2" s="876" t="s">
        <v>2630</v>
      </c>
      <c r="B2" s="873"/>
      <c r="E2" s="874" t="b">
        <f>xxNumOfTeams&gt;0</f>
        <v>1</v>
      </c>
      <c r="F2" s="873" t="s">
        <v>2639</v>
      </c>
      <c r="G2" s="875"/>
      <c r="H2" s="875"/>
      <c r="I2" s="875"/>
      <c r="J2" s="875"/>
      <c r="L2" s="873"/>
    </row>
    <row r="3" spans="1:17" s="676" customFormat="1" ht="13.8">
      <c r="B3" s="581" t="str">
        <f>nmProd1Seg1</f>
        <v>Productivity &amp; Business Enterprise</v>
      </c>
      <c r="C3" s="677"/>
      <c r="D3" s="677"/>
      <c r="E3" s="678"/>
    </row>
    <row r="4" spans="1:17" s="284" customFormat="1" ht="13.8">
      <c r="A4" s="372"/>
      <c r="E4" s="366"/>
      <c r="I4" s="680"/>
      <c r="M4" s="683"/>
    </row>
    <row r="5" spans="1:17" s="284" customFormat="1" ht="13.8">
      <c r="A5" s="372"/>
      <c r="C5" s="684"/>
      <c r="D5" s="684"/>
      <c r="E5" s="690" t="s">
        <v>7</v>
      </c>
    </row>
    <row r="6" spans="1:17" s="284" customFormat="1" ht="13.8">
      <c r="A6" s="372"/>
      <c r="D6" s="684" t="s">
        <v>1671</v>
      </c>
      <c r="E6" s="319">
        <f t="shared" ref="E6" si="0">obalProd1Seg1Consumption</f>
        <v>0.19</v>
      </c>
      <c r="F6" s="366"/>
      <c r="H6" s="933" t="s">
        <v>784</v>
      </c>
      <c r="I6" s="933" t="s">
        <v>783</v>
      </c>
      <c r="J6" s="933" t="s">
        <v>782</v>
      </c>
      <c r="K6" s="933" t="s">
        <v>781</v>
      </c>
      <c r="L6" s="933" t="s">
        <v>780</v>
      </c>
      <c r="M6" s="933" t="s">
        <v>779</v>
      </c>
      <c r="N6" s="933"/>
      <c r="O6" s="933"/>
      <c r="P6" s="933"/>
    </row>
    <row r="7" spans="1:17" s="284" customFormat="1" ht="13.8">
      <c r="A7" s="372"/>
      <c r="C7" s="284">
        <v>3</v>
      </c>
      <c r="D7" s="707" t="s">
        <v>465</v>
      </c>
      <c r="E7" s="709">
        <f t="shared" ref="E7" si="1">INDEX($H7:$M7,decCommercialSkill1+1)</f>
        <v>-1.4999999999999999E-2</v>
      </c>
      <c r="H7" s="909">
        <v>-1.4999999999999999E-2</v>
      </c>
      <c r="I7" s="686">
        <v>-5.0000000000000001E-3</v>
      </c>
      <c r="J7" s="686">
        <v>2.5000000000000001E-3</v>
      </c>
      <c r="K7" s="686">
        <v>5.0000000000000001E-3</v>
      </c>
      <c r="L7" s="686">
        <v>7.4999999999999997E-3</v>
      </c>
      <c r="M7" s="686">
        <v>1.4999999999999999E-2</v>
      </c>
      <c r="N7" s="933"/>
      <c r="O7" s="933"/>
      <c r="P7" s="933"/>
    </row>
    <row r="8" spans="1:17" s="284" customFormat="1" ht="13.8">
      <c r="A8" s="372"/>
      <c r="C8" s="284">
        <v>2</v>
      </c>
      <c r="D8" s="708" t="str">
        <f>nmSkill2</f>
        <v>Consultative Skills</v>
      </c>
      <c r="E8" s="709">
        <f>INDEX($H8:$M8,decCommercialSkill2+1)</f>
        <v>-0.01</v>
      </c>
      <c r="H8" s="909">
        <v>-0.01</v>
      </c>
      <c r="I8" s="686">
        <v>-2.5000000000000001E-3</v>
      </c>
      <c r="J8" s="686">
        <v>0</v>
      </c>
      <c r="K8" s="686">
        <v>2.5000000000000001E-3</v>
      </c>
      <c r="L8" s="686">
        <v>5.0000000000000001E-3</v>
      </c>
      <c r="M8" s="686">
        <v>0.01</v>
      </c>
      <c r="N8" s="933"/>
      <c r="O8" s="933"/>
      <c r="P8" s="933"/>
    </row>
    <row r="9" spans="1:17" s="284" customFormat="1" ht="13.8">
      <c r="A9" s="372"/>
      <c r="C9" s="284">
        <v>2</v>
      </c>
      <c r="D9" s="708" t="s">
        <v>422</v>
      </c>
      <c r="E9" s="709">
        <f>(cbalCommercialServicesFTEs-obalCommercialServicesFTEs)/100*$H9</f>
        <v>0</v>
      </c>
      <c r="H9" s="909">
        <v>0.05</v>
      </c>
      <c r="I9" s="933"/>
      <c r="J9" s="933"/>
      <c r="K9" s="933"/>
      <c r="L9" s="933"/>
      <c r="M9" s="933"/>
      <c r="N9" s="933"/>
      <c r="O9" s="933"/>
      <c r="P9" s="933"/>
    </row>
    <row r="10" spans="1:17" s="284" customFormat="1" ht="13.8">
      <c r="A10" s="372"/>
      <c r="C10" s="284">
        <v>1</v>
      </c>
      <c r="D10" s="708" t="s">
        <v>1673</v>
      </c>
      <c r="E10" s="709">
        <f t="shared" ref="E10" si="2">((cbalCommercialInsideSalesFTEs-obalCommercialInsideSalesFTEs)/100)*$H10</f>
        <v>0</v>
      </c>
      <c r="H10" s="909">
        <v>0.02</v>
      </c>
      <c r="I10" s="933"/>
      <c r="J10" s="933"/>
      <c r="K10" s="933"/>
      <c r="L10" s="933"/>
      <c r="M10" s="933"/>
      <c r="N10" s="933"/>
      <c r="O10" s="933"/>
      <c r="P10" s="933"/>
    </row>
    <row r="11" spans="1:17" s="284" customFormat="1" ht="13.8">
      <c r="A11" s="372"/>
      <c r="C11" s="284">
        <v>5</v>
      </c>
      <c r="D11" s="708" t="s">
        <v>451</v>
      </c>
      <c r="E11" s="709">
        <f t="shared" ref="E11" si="3">INDEX($H11:$M11,decEGScalability+1)</f>
        <v>-0.02</v>
      </c>
      <c r="H11" s="909">
        <v>-0.02</v>
      </c>
      <c r="I11" s="686">
        <v>-1.4999999999999999E-2</v>
      </c>
      <c r="J11" s="686">
        <v>0</v>
      </c>
      <c r="K11" s="686">
        <v>0.01</v>
      </c>
      <c r="L11" s="686">
        <v>1.4999999999999999E-2</v>
      </c>
      <c r="M11" s="686">
        <v>0.02</v>
      </c>
      <c r="N11" s="933"/>
      <c r="O11" s="933"/>
      <c r="P11" s="933"/>
    </row>
    <row r="12" spans="1:17" s="284" customFormat="1" ht="13.8">
      <c r="A12" s="372"/>
      <c r="C12" s="284">
        <v>5</v>
      </c>
      <c r="D12" s="708" t="s">
        <v>986</v>
      </c>
      <c r="E12" s="709">
        <f t="shared" ref="E12" si="4">paramChallengeProd1Seg1Consumption</f>
        <v>0</v>
      </c>
      <c r="H12" s="911"/>
      <c r="I12" s="911"/>
      <c r="J12" s="911"/>
      <c r="K12" s="911"/>
      <c r="L12" s="911"/>
      <c r="M12" s="911"/>
      <c r="N12" s="911"/>
      <c r="O12" s="911"/>
      <c r="P12" s="911"/>
      <c r="Q12" s="911"/>
    </row>
    <row r="13" spans="1:17" s="284" customFormat="1" ht="13.8">
      <c r="A13" s="372"/>
      <c r="D13" s="684" t="s">
        <v>778</v>
      </c>
      <c r="E13" s="687">
        <f t="shared" ref="E13" si="5">ManualAdjProd1Seg1Consumption</f>
        <v>0</v>
      </c>
      <c r="H13" s="911"/>
      <c r="I13" s="911"/>
      <c r="J13" s="911"/>
      <c r="K13" s="911"/>
      <c r="L13" s="911"/>
      <c r="M13" s="911"/>
      <c r="N13" s="911"/>
      <c r="O13" s="911"/>
      <c r="P13" s="911"/>
      <c r="Q13" s="911"/>
    </row>
    <row r="14" spans="1:17" s="689" customFormat="1" ht="2.1" customHeight="1">
      <c r="A14" s="372"/>
      <c r="B14" s="284"/>
      <c r="D14" s="688"/>
      <c r="E14" s="688"/>
      <c r="H14" s="911"/>
      <c r="I14" s="284"/>
      <c r="J14" s="284"/>
      <c r="K14" s="284"/>
      <c r="L14" s="284"/>
      <c r="M14" s="284"/>
    </row>
    <row r="15" spans="1:17" s="284" customFormat="1" ht="13.8">
      <c r="A15" s="372"/>
      <c r="D15" s="694" t="s">
        <v>1672</v>
      </c>
      <c r="E15" s="695">
        <f t="shared" ref="E15" si="6">IF(xxRound=0,E6,SUM(E6:E13))</f>
        <v>0.14499999999999999</v>
      </c>
      <c r="F15" s="284" t="s">
        <v>1682</v>
      </c>
      <c r="H15" s="911"/>
      <c r="I15" s="911"/>
      <c r="J15" s="911"/>
      <c r="K15" s="911"/>
      <c r="L15" s="911"/>
      <c r="M15" s="911"/>
    </row>
    <row r="16" spans="1:17" s="675" customFormat="1" ht="16.8">
      <c r="A16" s="372"/>
      <c r="B16" s="372"/>
      <c r="C16" s="372"/>
      <c r="D16" s="372"/>
      <c r="E16" s="373"/>
      <c r="F16" s="372"/>
      <c r="G16" s="372"/>
      <c r="H16" s="912"/>
      <c r="I16" s="1284"/>
      <c r="J16" s="1284"/>
      <c r="K16" s="1284"/>
      <c r="L16" s="1284"/>
      <c r="M16" s="1284"/>
    </row>
    <row r="17" spans="1:13" s="676" customFormat="1" ht="13.8">
      <c r="B17" s="581" t="str">
        <f>nmProd1Seg2</f>
        <v>Productivity &amp; Business SMC</v>
      </c>
      <c r="C17" s="677"/>
      <c r="D17" s="677"/>
      <c r="E17" s="678"/>
      <c r="H17" s="580"/>
    </row>
    <row r="18" spans="1:13" s="284" customFormat="1" ht="13.8">
      <c r="A18" s="372"/>
      <c r="E18" s="366"/>
      <c r="H18" s="911"/>
      <c r="I18" s="680"/>
      <c r="M18" s="683"/>
    </row>
    <row r="19" spans="1:13" s="284" customFormat="1" ht="13.8">
      <c r="A19" s="372"/>
      <c r="C19" s="684"/>
      <c r="D19" s="684"/>
      <c r="E19" s="690" t="s">
        <v>7</v>
      </c>
      <c r="H19" s="911"/>
    </row>
    <row r="20" spans="1:13" s="284" customFormat="1" ht="13.8">
      <c r="A20" s="372"/>
      <c r="D20" s="684" t="s">
        <v>1671</v>
      </c>
      <c r="E20" s="319">
        <f t="shared" ref="E20" si="7">obalProd1Seg2Consumption</f>
        <v>0.19</v>
      </c>
      <c r="F20" s="366"/>
      <c r="H20" s="911" t="s">
        <v>784</v>
      </c>
      <c r="I20" s="284" t="s">
        <v>783</v>
      </c>
      <c r="J20" s="284" t="s">
        <v>782</v>
      </c>
      <c r="K20" s="284" t="s">
        <v>781</v>
      </c>
      <c r="L20" s="284" t="s">
        <v>780</v>
      </c>
      <c r="M20" s="284" t="s">
        <v>779</v>
      </c>
    </row>
    <row r="21" spans="1:13" s="284" customFormat="1" ht="13.8">
      <c r="A21" s="372"/>
      <c r="C21" s="284">
        <v>3</v>
      </c>
      <c r="D21" s="707" t="s">
        <v>465</v>
      </c>
      <c r="E21" s="709">
        <f t="shared" ref="E21" si="8">INDEX($H21:$M21,decCommercialSkill1+1)</f>
        <v>-0.02</v>
      </c>
      <c r="H21" s="909">
        <v>-0.02</v>
      </c>
      <c r="I21" s="686">
        <v>-1.4999999999999999E-2</v>
      </c>
      <c r="J21" s="686">
        <v>0</v>
      </c>
      <c r="K21" s="686">
        <v>0.01</v>
      </c>
      <c r="L21" s="686">
        <v>1.4999999999999999E-2</v>
      </c>
      <c r="M21" s="686">
        <v>0.02</v>
      </c>
    </row>
    <row r="22" spans="1:13" s="284" customFormat="1" ht="13.8">
      <c r="A22" s="372"/>
      <c r="C22" s="284">
        <v>2</v>
      </c>
      <c r="D22" s="708" t="str">
        <f>nmSkill2</f>
        <v>Consultative Skills</v>
      </c>
      <c r="E22" s="709">
        <f>INDEX($H22:$M22,decCommercialSkill2+1)</f>
        <v>-1.4999999999999999E-2</v>
      </c>
      <c r="H22" s="909">
        <v>-1.4999999999999999E-2</v>
      </c>
      <c r="I22" s="686">
        <v>-5.0000000000000001E-3</v>
      </c>
      <c r="J22" s="686">
        <v>0</v>
      </c>
      <c r="K22" s="686">
        <v>5.0000000000000001E-3</v>
      </c>
      <c r="L22" s="686">
        <v>7.4999999999999997E-3</v>
      </c>
      <c r="M22" s="686">
        <v>1.4999999999999999E-2</v>
      </c>
    </row>
    <row r="23" spans="1:13" s="284" customFormat="1" ht="13.8">
      <c r="A23" s="372"/>
      <c r="C23" s="284">
        <v>2</v>
      </c>
      <c r="D23" s="708" t="s">
        <v>422</v>
      </c>
      <c r="E23" s="709">
        <f>(cbalCommercialServicesFTEs-obalCommercialServicesFTEs)/100*$H23</f>
        <v>0</v>
      </c>
      <c r="H23" s="909">
        <v>0.02</v>
      </c>
    </row>
    <row r="24" spans="1:13" s="284" customFormat="1" ht="13.8">
      <c r="A24" s="372"/>
      <c r="C24" s="284">
        <v>1</v>
      </c>
      <c r="D24" s="708" t="s">
        <v>1673</v>
      </c>
      <c r="E24" s="709">
        <f t="shared" ref="E24" si="9">((cbalCommercialInsideSalesFTEs-obalCommercialInsideSalesFTEs)/100)*$H24</f>
        <v>0</v>
      </c>
      <c r="H24" s="909">
        <v>0.05</v>
      </c>
    </row>
    <row r="25" spans="1:13" s="284" customFormat="1" ht="13.8">
      <c r="A25" s="372"/>
      <c r="C25" s="284">
        <v>5</v>
      </c>
      <c r="D25" s="708" t="s">
        <v>451</v>
      </c>
      <c r="E25" s="709">
        <f t="shared" ref="E25" si="10">INDEX($H25:$M25,decEGScalability+1)</f>
        <v>-0.01</v>
      </c>
      <c r="H25" s="909">
        <v>-0.01</v>
      </c>
      <c r="I25" s="686">
        <v>-2.5000000000000001E-3</v>
      </c>
      <c r="J25" s="686">
        <v>0</v>
      </c>
      <c r="K25" s="686">
        <v>2.5000000000000001E-3</v>
      </c>
      <c r="L25" s="686">
        <v>5.0000000000000001E-3</v>
      </c>
      <c r="M25" s="686">
        <v>0.01</v>
      </c>
    </row>
    <row r="26" spans="1:13" s="284" customFormat="1" ht="13.8">
      <c r="A26" s="372"/>
      <c r="D26" s="684" t="s">
        <v>778</v>
      </c>
      <c r="E26" s="687">
        <f t="shared" ref="E26" si="11">ManualAdjProd1Seg2Consumption</f>
        <v>0</v>
      </c>
      <c r="H26" s="911"/>
    </row>
    <row r="27" spans="1:13" s="689" customFormat="1" ht="2.1" customHeight="1">
      <c r="A27" s="372"/>
      <c r="B27" s="284"/>
      <c r="D27" s="688"/>
      <c r="E27" s="688"/>
      <c r="H27" s="911"/>
      <c r="I27" s="284"/>
      <c r="J27" s="284"/>
      <c r="K27" s="284"/>
      <c r="L27" s="284"/>
      <c r="M27" s="284"/>
    </row>
    <row r="28" spans="1:13" s="284" customFormat="1" ht="13.8">
      <c r="A28" s="372"/>
      <c r="D28" s="694" t="s">
        <v>1672</v>
      </c>
      <c r="E28" s="695">
        <f t="shared" ref="E28" si="12">IF(xxRound=0,E20,SUM(E20:E26))</f>
        <v>0.14500000000000002</v>
      </c>
      <c r="F28" s="284" t="s">
        <v>1683</v>
      </c>
      <c r="H28" s="911"/>
    </row>
    <row r="29" spans="1:13" s="675" customFormat="1" ht="16.8">
      <c r="A29" s="372"/>
      <c r="B29" s="372"/>
      <c r="C29" s="372"/>
      <c r="D29" s="372"/>
      <c r="E29" s="373"/>
      <c r="F29" s="372"/>
      <c r="G29" s="372"/>
      <c r="H29" s="912"/>
      <c r="I29" s="1284"/>
      <c r="J29" s="1284"/>
      <c r="K29" s="1284"/>
      <c r="L29" s="1284"/>
      <c r="M29" s="1284"/>
    </row>
    <row r="30" spans="1:13" s="676" customFormat="1" ht="13.8">
      <c r="B30" s="581" t="str">
        <f>nmProd1Seg3</f>
        <v>Productivity &amp; Business Consumer</v>
      </c>
      <c r="C30" s="677"/>
      <c r="D30" s="677"/>
      <c r="E30" s="678"/>
      <c r="H30" s="580"/>
    </row>
    <row r="31" spans="1:13" s="284" customFormat="1" ht="13.8">
      <c r="A31" s="372"/>
      <c r="E31" s="366"/>
      <c r="H31" s="911"/>
      <c r="I31" s="680"/>
      <c r="M31" s="683"/>
    </row>
    <row r="32" spans="1:13" s="284" customFormat="1" ht="13.8">
      <c r="A32" s="372"/>
      <c r="C32" s="684"/>
      <c r="D32" s="684"/>
      <c r="E32" s="690" t="s">
        <v>7</v>
      </c>
      <c r="H32" s="911"/>
    </row>
    <row r="33" spans="1:13" s="284" customFormat="1" ht="13.8">
      <c r="A33" s="372"/>
      <c r="D33" s="684" t="s">
        <v>1671</v>
      </c>
      <c r="E33" s="319">
        <f t="shared" ref="E33" si="13">obalProd1Seg3Consumption</f>
        <v>0.19</v>
      </c>
      <c r="F33" s="366"/>
      <c r="H33" s="911" t="s">
        <v>784</v>
      </c>
      <c r="I33" s="284" t="s">
        <v>783</v>
      </c>
      <c r="J33" s="284" t="s">
        <v>782</v>
      </c>
      <c r="K33" s="284" t="s">
        <v>781</v>
      </c>
      <c r="L33" s="284" t="s">
        <v>780</v>
      </c>
      <c r="M33" s="284" t="s">
        <v>779</v>
      </c>
    </row>
    <row r="34" spans="1:13" s="284" customFormat="1" ht="13.8">
      <c r="A34" s="372"/>
      <c r="C34" s="284">
        <v>2</v>
      </c>
      <c r="D34" s="707" t="s">
        <v>465</v>
      </c>
      <c r="E34" s="709">
        <f t="shared" ref="E34" si="14">INDEX($H34:$M34,decConsumerSkill1+1)</f>
        <v>-0.02</v>
      </c>
      <c r="H34" s="909">
        <v>-0.02</v>
      </c>
      <c r="I34" s="686">
        <v>-1.4999999999999999E-2</v>
      </c>
      <c r="J34" s="686">
        <v>0</v>
      </c>
      <c r="K34" s="686">
        <v>0.01</v>
      </c>
      <c r="L34" s="686">
        <v>1.4999999999999999E-2</v>
      </c>
      <c r="M34" s="686">
        <v>0.02</v>
      </c>
    </row>
    <row r="35" spans="1:13" s="284" customFormat="1" ht="13.8">
      <c r="A35" s="372"/>
      <c r="C35" s="284">
        <v>2</v>
      </c>
      <c r="D35" s="708" t="str">
        <f>nmSkill2</f>
        <v>Consultative Skills</v>
      </c>
      <c r="E35" s="709">
        <f>INDEX($H35:$M35,decConsumerSkill2+1)</f>
        <v>-1.4999999999999999E-2</v>
      </c>
      <c r="H35" s="909">
        <v>-1.4999999999999999E-2</v>
      </c>
      <c r="I35" s="686">
        <v>-5.0000000000000001E-3</v>
      </c>
      <c r="J35" s="686">
        <v>0</v>
      </c>
      <c r="K35" s="686">
        <v>5.0000000000000001E-3</v>
      </c>
      <c r="L35" s="686">
        <v>7.4999999999999997E-3</v>
      </c>
      <c r="M35" s="686">
        <v>1.4999999999999999E-2</v>
      </c>
    </row>
    <row r="36" spans="1:13" s="284" customFormat="1" ht="13.8">
      <c r="A36" s="372"/>
      <c r="C36" s="284">
        <v>1</v>
      </c>
      <c r="D36" s="708" t="s">
        <v>422</v>
      </c>
      <c r="E36" s="709">
        <f>(cbalConsumerServicesFTEs-obalConsumerServicesFTEs)/100*$H36</f>
        <v>0</v>
      </c>
      <c r="H36" s="909">
        <v>1.4999999999999999E-2</v>
      </c>
    </row>
    <row r="37" spans="1:13" s="284" customFormat="1" ht="13.8">
      <c r="A37" s="372"/>
      <c r="C37" s="284">
        <v>2</v>
      </c>
      <c r="D37" s="708" t="s">
        <v>1673</v>
      </c>
      <c r="E37" s="709">
        <f>((cbalConsumerInsideSalesFTEs-obalConsumerInsideSalesFTEs)/100)*$H37</f>
        <v>0</v>
      </c>
      <c r="H37" s="909">
        <v>1.4999999999999999E-2</v>
      </c>
      <c r="I37" s="933"/>
      <c r="J37" s="933"/>
      <c r="K37" s="933"/>
      <c r="L37" s="933"/>
      <c r="M37" s="933"/>
    </row>
    <row r="38" spans="1:13" s="284" customFormat="1" ht="13.8">
      <c r="A38" s="372"/>
      <c r="D38" s="684" t="s">
        <v>778</v>
      </c>
      <c r="E38" s="687">
        <f t="shared" ref="E38" si="15">ManualAdjProd1Seg3Consumption</f>
        <v>0</v>
      </c>
      <c r="H38" s="911"/>
    </row>
    <row r="39" spans="1:13" s="689" customFormat="1" ht="2.1" customHeight="1">
      <c r="A39" s="372"/>
      <c r="B39" s="284"/>
      <c r="D39" s="688"/>
      <c r="E39" s="688"/>
      <c r="H39" s="911"/>
      <c r="I39" s="284"/>
      <c r="J39" s="284"/>
      <c r="K39" s="284"/>
      <c r="L39" s="284"/>
      <c r="M39" s="284"/>
    </row>
    <row r="40" spans="1:13" s="284" customFormat="1" ht="13.8">
      <c r="A40" s="372"/>
      <c r="D40" s="694" t="s">
        <v>1672</v>
      </c>
      <c r="E40" s="695">
        <f t="shared" ref="E40" si="16">IF(xxRound=0,E33,SUM(E33:E38))</f>
        <v>0.15500000000000003</v>
      </c>
      <c r="F40" s="284" t="s">
        <v>2236</v>
      </c>
      <c r="H40" s="911"/>
    </row>
    <row r="41" spans="1:13" s="675" customFormat="1" ht="16.8">
      <c r="A41" s="372"/>
      <c r="B41" s="372"/>
      <c r="C41" s="372"/>
      <c r="D41" s="372"/>
      <c r="E41" s="373"/>
      <c r="F41" s="372"/>
      <c r="G41" s="372"/>
      <c r="H41" s="912"/>
      <c r="I41" s="1284"/>
      <c r="J41" s="1284"/>
      <c r="K41" s="1284"/>
      <c r="L41" s="1284"/>
      <c r="M41" s="1284"/>
    </row>
    <row r="42" spans="1:13" s="676" customFormat="1" ht="13.8">
      <c r="B42" s="581" t="str">
        <f>nmProd2Seg1</f>
        <v>Intelligent Cloud Enterprise</v>
      </c>
      <c r="C42" s="677"/>
      <c r="D42" s="677"/>
      <c r="E42" s="678"/>
      <c r="H42" s="580"/>
    </row>
    <row r="43" spans="1:13" s="284" customFormat="1" ht="13.8">
      <c r="A43" s="372"/>
      <c r="E43" s="366"/>
      <c r="H43" s="911"/>
      <c r="I43" s="680"/>
      <c r="M43" s="683"/>
    </row>
    <row r="44" spans="1:13" s="284" customFormat="1" ht="13.8">
      <c r="A44" s="372"/>
      <c r="C44" s="684"/>
      <c r="D44" s="684"/>
      <c r="E44" s="690" t="s">
        <v>7</v>
      </c>
      <c r="H44" s="911"/>
    </row>
    <row r="45" spans="1:13" s="284" customFormat="1" ht="13.8">
      <c r="A45" s="372"/>
      <c r="D45" s="684" t="s">
        <v>1671</v>
      </c>
      <c r="E45" s="319">
        <f t="shared" ref="E45" si="17">obalProd2Seg1Consumption</f>
        <v>0.19</v>
      </c>
      <c r="F45" s="366"/>
      <c r="H45" s="911" t="s">
        <v>784</v>
      </c>
      <c r="I45" s="284" t="s">
        <v>783</v>
      </c>
      <c r="J45" s="284" t="s">
        <v>782</v>
      </c>
      <c r="K45" s="284" t="s">
        <v>781</v>
      </c>
      <c r="L45" s="284" t="s">
        <v>780</v>
      </c>
      <c r="M45" s="284" t="s">
        <v>779</v>
      </c>
    </row>
    <row r="46" spans="1:13" s="284" customFormat="1" ht="13.8">
      <c r="A46" s="372"/>
      <c r="C46" s="284">
        <v>3</v>
      </c>
      <c r="D46" s="707" t="s">
        <v>465</v>
      </c>
      <c r="E46" s="709">
        <f t="shared" ref="E46" si="18">INDEX($H46:$M46,decCommercialSkill1+1)</f>
        <v>-1.4999999999999999E-2</v>
      </c>
      <c r="H46" s="909">
        <v>-1.4999999999999999E-2</v>
      </c>
      <c r="I46" s="686">
        <v>-5.0000000000000001E-3</v>
      </c>
      <c r="J46" s="686">
        <v>2.5000000000000001E-3</v>
      </c>
      <c r="K46" s="686">
        <v>5.0000000000000001E-3</v>
      </c>
      <c r="L46" s="686">
        <v>7.4999999999999997E-3</v>
      </c>
      <c r="M46" s="686">
        <v>1.4999999999999999E-2</v>
      </c>
    </row>
    <row r="47" spans="1:13" s="284" customFormat="1" ht="12" customHeight="1">
      <c r="A47" s="372"/>
      <c r="C47" s="284">
        <v>2</v>
      </c>
      <c r="D47" s="708" t="str">
        <f>nmSkill2</f>
        <v>Consultative Skills</v>
      </c>
      <c r="E47" s="709">
        <f>INDEX($H47:$M47,decCommercialSkill2+1)</f>
        <v>-0.01</v>
      </c>
      <c r="H47" s="909">
        <v>-0.01</v>
      </c>
      <c r="I47" s="686">
        <v>-2.5000000000000001E-3</v>
      </c>
      <c r="J47" s="686">
        <v>0</v>
      </c>
      <c r="K47" s="686">
        <v>2.5000000000000001E-3</v>
      </c>
      <c r="L47" s="686">
        <v>5.0000000000000001E-3</v>
      </c>
      <c r="M47" s="686">
        <v>0.01</v>
      </c>
    </row>
    <row r="48" spans="1:13" s="284" customFormat="1" ht="13.8">
      <c r="A48" s="372"/>
      <c r="C48" s="284">
        <v>2</v>
      </c>
      <c r="D48" s="708" t="s">
        <v>422</v>
      </c>
      <c r="E48" s="709">
        <f>(cbalCommercialServicesFTEs-obalCommercialServicesFTEs)/100*$H48</f>
        <v>0</v>
      </c>
      <c r="H48" s="909">
        <v>0.05</v>
      </c>
      <c r="I48" s="933"/>
      <c r="J48" s="933"/>
      <c r="K48" s="933"/>
      <c r="L48" s="933"/>
      <c r="M48" s="933"/>
    </row>
    <row r="49" spans="1:17" s="284" customFormat="1" ht="13.8">
      <c r="A49" s="372"/>
      <c r="C49" s="284">
        <v>1</v>
      </c>
      <c r="D49" s="708" t="s">
        <v>1673</v>
      </c>
      <c r="E49" s="709">
        <f t="shared" ref="E49" si="19">((cbalCommercialInsideSalesFTEs-obalCommercialInsideSalesFTEs)/100)*$H49</f>
        <v>0</v>
      </c>
      <c r="H49" s="909">
        <v>0.02</v>
      </c>
      <c r="I49" s="933"/>
      <c r="J49" s="933"/>
      <c r="K49" s="933"/>
      <c r="L49" s="933"/>
      <c r="M49" s="933"/>
    </row>
    <row r="50" spans="1:17" s="284" customFormat="1" ht="13.8">
      <c r="A50" s="372"/>
      <c r="C50" s="284">
        <v>5</v>
      </c>
      <c r="D50" s="708" t="s">
        <v>451</v>
      </c>
      <c r="E50" s="709">
        <f t="shared" ref="E50" si="20">INDEX($H50:$M50,decEGScalability+1)</f>
        <v>-0.02</v>
      </c>
      <c r="H50" s="909">
        <v>-0.02</v>
      </c>
      <c r="I50" s="686">
        <v>-1.4999999999999999E-2</v>
      </c>
      <c r="J50" s="686">
        <v>0</v>
      </c>
      <c r="K50" s="686">
        <v>0.01</v>
      </c>
      <c r="L50" s="686">
        <v>1.4999999999999999E-2</v>
      </c>
      <c r="M50" s="686">
        <v>0.02</v>
      </c>
    </row>
    <row r="51" spans="1:17" s="284" customFormat="1" ht="13.8">
      <c r="A51" s="372"/>
      <c r="C51" s="284">
        <v>5</v>
      </c>
      <c r="D51" s="708" t="s">
        <v>986</v>
      </c>
      <c r="E51" s="709">
        <f>paramChallengeProd2Seg1Consumption</f>
        <v>0</v>
      </c>
      <c r="H51" s="911"/>
      <c r="I51" s="911"/>
      <c r="J51" s="911"/>
      <c r="K51" s="911"/>
      <c r="L51" s="911"/>
      <c r="M51" s="911"/>
      <c r="N51" s="911"/>
      <c r="O51" s="911"/>
      <c r="P51" s="911"/>
      <c r="Q51" s="911"/>
    </row>
    <row r="52" spans="1:17" s="284" customFormat="1" ht="13.8">
      <c r="A52" s="372"/>
      <c r="D52" s="684" t="s">
        <v>778</v>
      </c>
      <c r="E52" s="687">
        <f t="shared" ref="E52" si="21">ManualAdjProd2Seg1Consumption</f>
        <v>0</v>
      </c>
      <c r="H52" s="911"/>
    </row>
    <row r="53" spans="1:17" s="689" customFormat="1" ht="2.1" customHeight="1">
      <c r="A53" s="372"/>
      <c r="B53" s="284"/>
      <c r="D53" s="688"/>
      <c r="E53" s="688"/>
      <c r="H53" s="911"/>
      <c r="I53" s="284"/>
      <c r="J53" s="284"/>
      <c r="K53" s="284"/>
      <c r="L53" s="284"/>
      <c r="M53" s="284"/>
    </row>
    <row r="54" spans="1:17" s="284" customFormat="1" ht="13.8">
      <c r="A54" s="372"/>
      <c r="D54" s="694" t="s">
        <v>1672</v>
      </c>
      <c r="E54" s="695">
        <f t="shared" ref="E54" si="22">IF(xxRound=0,E45,SUM(E45:E52))</f>
        <v>0.14499999999999999</v>
      </c>
      <c r="F54" s="284" t="s">
        <v>1684</v>
      </c>
      <c r="H54" s="911"/>
    </row>
    <row r="55" spans="1:17" s="675" customFormat="1" ht="16.8">
      <c r="A55" s="372"/>
      <c r="B55" s="372"/>
      <c r="C55" s="372"/>
      <c r="D55" s="372"/>
      <c r="E55" s="373"/>
      <c r="F55" s="372"/>
      <c r="G55" s="372"/>
      <c r="H55" s="912"/>
      <c r="I55" s="1284"/>
      <c r="J55" s="1284"/>
      <c r="K55" s="1284"/>
      <c r="L55" s="1284"/>
      <c r="M55" s="1284"/>
    </row>
    <row r="56" spans="1:17" s="676" customFormat="1" ht="13.8">
      <c r="B56" s="581" t="str">
        <f>nmProd2Seg2</f>
        <v>Intelligent Cloud SMC</v>
      </c>
      <c r="C56" s="677"/>
      <c r="D56" s="677"/>
      <c r="E56" s="678"/>
      <c r="H56" s="580"/>
    </row>
    <row r="57" spans="1:17" s="284" customFormat="1" ht="13.8">
      <c r="A57" s="372"/>
      <c r="E57" s="366"/>
      <c r="H57" s="911"/>
      <c r="I57" s="680"/>
      <c r="M57" s="683"/>
    </row>
    <row r="58" spans="1:17" s="284" customFormat="1" ht="13.8">
      <c r="A58" s="372"/>
      <c r="C58" s="684"/>
      <c r="D58" s="684"/>
      <c r="E58" s="690" t="s">
        <v>7</v>
      </c>
      <c r="H58" s="911"/>
    </row>
    <row r="59" spans="1:17" s="284" customFormat="1" ht="13.8">
      <c r="A59" s="372"/>
      <c r="D59" s="684" t="s">
        <v>1671</v>
      </c>
      <c r="E59" s="319">
        <f t="shared" ref="E59" si="23">obalProd2Seg2Consumption</f>
        <v>0.19</v>
      </c>
      <c r="F59" s="366"/>
      <c r="H59" s="911" t="s">
        <v>784</v>
      </c>
      <c r="I59" s="284" t="s">
        <v>783</v>
      </c>
      <c r="J59" s="284" t="s">
        <v>782</v>
      </c>
      <c r="K59" s="284" t="s">
        <v>781</v>
      </c>
      <c r="L59" s="284" t="s">
        <v>780</v>
      </c>
      <c r="M59" s="284" t="s">
        <v>779</v>
      </c>
    </row>
    <row r="60" spans="1:17" s="284" customFormat="1" ht="13.8">
      <c r="A60" s="372"/>
      <c r="C60" s="284">
        <v>3</v>
      </c>
      <c r="D60" s="707" t="s">
        <v>465</v>
      </c>
      <c r="E60" s="709">
        <f t="shared" ref="E60" si="24">INDEX($H60:$M60,decCommercialSkill1+1)</f>
        <v>-0.02</v>
      </c>
      <c r="H60" s="909">
        <v>-0.02</v>
      </c>
      <c r="I60" s="686">
        <v>-1.4999999999999999E-2</v>
      </c>
      <c r="J60" s="686">
        <v>0</v>
      </c>
      <c r="K60" s="686">
        <v>0.01</v>
      </c>
      <c r="L60" s="686">
        <v>1.4999999999999999E-2</v>
      </c>
      <c r="M60" s="686">
        <v>0.02</v>
      </c>
    </row>
    <row r="61" spans="1:17" s="284" customFormat="1" ht="13.8">
      <c r="A61" s="372"/>
      <c r="C61" s="284">
        <v>2</v>
      </c>
      <c r="D61" s="708" t="str">
        <f>nmSkill2</f>
        <v>Consultative Skills</v>
      </c>
      <c r="E61" s="709">
        <f>INDEX($H61:$M61,decCommercialSkill2+1)</f>
        <v>-1.4999999999999999E-2</v>
      </c>
      <c r="H61" s="909">
        <v>-1.4999999999999999E-2</v>
      </c>
      <c r="I61" s="686">
        <v>-5.0000000000000001E-3</v>
      </c>
      <c r="J61" s="686">
        <v>0</v>
      </c>
      <c r="K61" s="686">
        <v>5.0000000000000001E-3</v>
      </c>
      <c r="L61" s="686">
        <v>7.4999999999999997E-3</v>
      </c>
      <c r="M61" s="686">
        <v>1.4999999999999999E-2</v>
      </c>
    </row>
    <row r="62" spans="1:17" s="284" customFormat="1" ht="13.8">
      <c r="A62" s="372"/>
      <c r="C62" s="284">
        <v>2</v>
      </c>
      <c r="D62" s="708" t="s">
        <v>422</v>
      </c>
      <c r="E62" s="709">
        <f>(cbalCommercialServicesFTEs-obalCommercialServicesFTEs)/100*$H62</f>
        <v>0</v>
      </c>
      <c r="H62" s="909">
        <v>0.02</v>
      </c>
    </row>
    <row r="63" spans="1:17" s="284" customFormat="1" ht="13.8">
      <c r="A63" s="372"/>
      <c r="C63" s="284">
        <v>1</v>
      </c>
      <c r="D63" s="708" t="s">
        <v>1673</v>
      </c>
      <c r="E63" s="709">
        <f t="shared" ref="E63" si="25">((cbalCommercialInsideSalesFTEs-obalCommercialInsideSalesFTEs)/100)*$H63</f>
        <v>0</v>
      </c>
      <c r="H63" s="909">
        <v>0.05</v>
      </c>
    </row>
    <row r="64" spans="1:17" s="284" customFormat="1" ht="13.8">
      <c r="A64" s="372"/>
      <c r="C64" s="284">
        <v>5</v>
      </c>
      <c r="D64" s="708" t="s">
        <v>451</v>
      </c>
      <c r="E64" s="709">
        <f t="shared" ref="E64" si="26">INDEX($H64:$M64,decEGScalability+1)</f>
        <v>-0.01</v>
      </c>
      <c r="H64" s="909">
        <v>-0.01</v>
      </c>
      <c r="I64" s="686">
        <v>-2.5000000000000001E-3</v>
      </c>
      <c r="J64" s="686">
        <v>0</v>
      </c>
      <c r="K64" s="686">
        <v>2.5000000000000001E-3</v>
      </c>
      <c r="L64" s="686">
        <v>5.0000000000000001E-3</v>
      </c>
      <c r="M64" s="686">
        <v>0.01</v>
      </c>
    </row>
    <row r="65" spans="1:13" s="284" customFormat="1" ht="13.8">
      <c r="A65" s="372"/>
      <c r="D65" s="684" t="s">
        <v>778</v>
      </c>
      <c r="E65" s="687">
        <f t="shared" ref="E65" si="27">ManualAdjProd2Seg2Consumption</f>
        <v>0</v>
      </c>
    </row>
    <row r="66" spans="1:13" s="689" customFormat="1" ht="2.1" customHeight="1">
      <c r="A66" s="372"/>
      <c r="B66" s="284"/>
      <c r="D66" s="688"/>
      <c r="E66" s="688"/>
      <c r="H66" s="284"/>
      <c r="I66" s="284"/>
      <c r="J66" s="284"/>
      <c r="K66" s="284"/>
      <c r="L66" s="284"/>
      <c r="M66" s="284"/>
    </row>
    <row r="67" spans="1:13" s="284" customFormat="1" ht="13.8">
      <c r="A67" s="372"/>
      <c r="D67" s="694" t="s">
        <v>1672</v>
      </c>
      <c r="E67" s="695">
        <f t="shared" ref="E67" si="28">IF(xxRound=0,E59,SUM(E59:E65))</f>
        <v>0.14500000000000002</v>
      </c>
      <c r="F67" s="284" t="s">
        <v>1685</v>
      </c>
    </row>
    <row r="68" spans="1:13" s="675" customFormat="1" ht="16.8">
      <c r="A68" s="372"/>
      <c r="B68" s="372"/>
      <c r="C68" s="372"/>
      <c r="D68" s="372"/>
      <c r="E68" s="373"/>
      <c r="F68" s="372"/>
      <c r="G68" s="372"/>
    </row>
    <row r="69" spans="1:13" s="675" customFormat="1" ht="16.8">
      <c r="A69" s="372"/>
      <c r="B69" s="372"/>
      <c r="C69" s="372"/>
      <c r="D69" s="372"/>
      <c r="E69" s="373"/>
      <c r="F69" s="372"/>
      <c r="G69" s="372"/>
    </row>
    <row r="70" spans="1:13" s="676" customFormat="1" ht="13.8">
      <c r="B70" s="581" t="s">
        <v>1687</v>
      </c>
      <c r="C70" s="677"/>
      <c r="D70" s="677"/>
      <c r="E70" s="678"/>
    </row>
    <row r="72" spans="1:13" ht="12.75" customHeight="1">
      <c r="C72" s="393" t="s">
        <v>1688</v>
      </c>
    </row>
    <row r="73" spans="1:13" ht="12.75" customHeight="1">
      <c r="D73" s="372" t="str">
        <f>nmProd1Seg1</f>
        <v>Productivity &amp; Business Enterprise</v>
      </c>
      <c r="E73" s="397">
        <f t="shared" ref="E73" si="29">obalProd1Seg1NewSubs+obalProd1Seg1RenewedSubs</f>
        <v>5277134.7351524867</v>
      </c>
    </row>
    <row r="74" spans="1:13" ht="12.75" customHeight="1">
      <c r="D74" s="372" t="str">
        <f>nmProd1Seg2</f>
        <v>Productivity &amp; Business SMC</v>
      </c>
      <c r="E74" s="397">
        <f t="shared" ref="E74" si="30">obalProd1Seg2NewSubs+obalProd1Seg2RenewedSubs</f>
        <v>3207977.8665581774</v>
      </c>
    </row>
    <row r="75" spans="1:13" ht="12.75" customHeight="1">
      <c r="D75" s="372" t="str">
        <f>nmProd1Seg3</f>
        <v>Productivity &amp; Business Consumer</v>
      </c>
      <c r="E75" s="397">
        <f t="shared" ref="E75" si="31">obalProd1Seg3NewSubs+obalProd1Seg3RenewedSubs</f>
        <v>8535883.4399999995</v>
      </c>
    </row>
    <row r="76" spans="1:13" ht="12.75" customHeight="1">
      <c r="D76" s="372" t="str">
        <f>nmProd2Seg1</f>
        <v>Intelligent Cloud Enterprise</v>
      </c>
      <c r="E76" s="397">
        <f t="shared" ref="E76" si="32">obalProd2Seg1NewSubs+obalProd2Seg1RenewedSubs</f>
        <v>2329987.9477210129</v>
      </c>
    </row>
    <row r="77" spans="1:13" ht="12.75" customHeight="1">
      <c r="D77" s="372" t="str">
        <f>nmProd2Seg2</f>
        <v>Intelligent Cloud SMC</v>
      </c>
      <c r="E77" s="397">
        <f t="shared" ref="E77" si="33">obalProd2Seg2NewSubs+obalProd2Seg2RenewedSubs</f>
        <v>2542339.0472343266</v>
      </c>
    </row>
    <row r="79" spans="1:13" ht="12.75" customHeight="1">
      <c r="D79" s="372" t="str">
        <f>nmProd1Seg1</f>
        <v>Productivity &amp; Business Enterprise</v>
      </c>
      <c r="E79" s="701">
        <f t="shared" ref="E79" si="34">E73/obalTotalCloudSubs</f>
        <v>0.24103854523658044</v>
      </c>
      <c r="F79" s="629" t="s">
        <v>1786</v>
      </c>
    </row>
    <row r="80" spans="1:13" ht="12.75" customHeight="1">
      <c r="D80" s="372" t="str">
        <f>nmProd1Seg2</f>
        <v>Productivity &amp; Business SMC</v>
      </c>
      <c r="E80" s="701">
        <f t="shared" ref="E80" si="35">E74/obalTotalCloudSubs</f>
        <v>0.14652768157604915</v>
      </c>
      <c r="F80" s="629" t="s">
        <v>1787</v>
      </c>
    </row>
    <row r="81" spans="1:7" ht="12.75" customHeight="1">
      <c r="D81" s="372" t="str">
        <f>nmProd1Seg3</f>
        <v>Productivity &amp; Business Consumer</v>
      </c>
      <c r="E81" s="701">
        <f t="shared" ref="E81" si="36">E75/obalTotalCloudSubs</f>
        <v>0.38988523696034938</v>
      </c>
      <c r="F81" s="629" t="s">
        <v>1788</v>
      </c>
    </row>
    <row r="82" spans="1:7" ht="12.75" customHeight="1">
      <c r="D82" s="372" t="str">
        <f>nmProd2Seg1</f>
        <v>Intelligent Cloud Enterprise</v>
      </c>
      <c r="E82" s="701">
        <f t="shared" ref="E82" si="37">E76/obalTotalCloudSubs</f>
        <v>0.1064245909046721</v>
      </c>
      <c r="F82" s="629" t="s">
        <v>1789</v>
      </c>
    </row>
    <row r="83" spans="1:7" ht="12.75" customHeight="1">
      <c r="D83" s="372" t="str">
        <f>nmProd2Seg2</f>
        <v>Intelligent Cloud SMC</v>
      </c>
      <c r="E83" s="701">
        <f t="shared" ref="E83" si="38">E77/obalTotalCloudSubs</f>
        <v>0.116123945322349</v>
      </c>
      <c r="F83" s="629" t="s">
        <v>1790</v>
      </c>
    </row>
    <row r="84" spans="1:7" ht="12.75" customHeight="1">
      <c r="E84" s="711"/>
    </row>
    <row r="85" spans="1:7" ht="12.75" customHeight="1">
      <c r="D85" s="372" t="str">
        <f>nmProd1Seg1</f>
        <v>Productivity &amp; Business Enterprise</v>
      </c>
      <c r="E85" s="701">
        <f>calcProd1Seg1Consumption*E79</f>
        <v>3.4950589059304163E-2</v>
      </c>
    </row>
    <row r="86" spans="1:7" ht="12.75" customHeight="1">
      <c r="D86" s="372" t="str">
        <f>nmProd1Seg2</f>
        <v>Productivity &amp; Business SMC</v>
      </c>
      <c r="E86" s="701">
        <f t="shared" ref="E86" si="39">calcProd1Seg2Consumption*E80</f>
        <v>2.124651382852713E-2</v>
      </c>
    </row>
    <row r="87" spans="1:7" ht="12.75" customHeight="1">
      <c r="D87" s="372" t="str">
        <f>nmProd1Seg3</f>
        <v>Productivity &amp; Business Consumer</v>
      </c>
      <c r="E87" s="701">
        <f t="shared" ref="E87" si="40">calcProd1Seg3Consumption*E81</f>
        <v>6.0432211728854164E-2</v>
      </c>
    </row>
    <row r="88" spans="1:7" ht="12.75" customHeight="1">
      <c r="D88" s="372" t="str">
        <f>nmProd2Seg1</f>
        <v>Intelligent Cloud Enterprise</v>
      </c>
      <c r="E88" s="701">
        <f t="shared" ref="E88" si="41">calcProd2Seg1Consumption*E82</f>
        <v>1.5431565681177454E-2</v>
      </c>
    </row>
    <row r="89" spans="1:7" ht="12.75" customHeight="1">
      <c r="D89" s="372" t="str">
        <f>nmProd2Seg2</f>
        <v>Intelligent Cloud SMC</v>
      </c>
      <c r="E89" s="701">
        <f t="shared" ref="E89" si="42">calcProd2Seg2Consumption*E83</f>
        <v>1.6837972071740606E-2</v>
      </c>
    </row>
    <row r="90" spans="1:7" ht="12.75" customHeight="1">
      <c r="D90" s="393" t="s">
        <v>1689</v>
      </c>
      <c r="E90" s="705">
        <f>SUM(E85:E89)</f>
        <v>0.14889885236960354</v>
      </c>
      <c r="F90" s="629" t="s">
        <v>1690</v>
      </c>
    </row>
    <row r="91" spans="1:7" s="675" customFormat="1" ht="16.8">
      <c r="A91" s="372"/>
      <c r="B91" s="372"/>
      <c r="C91" s="372"/>
      <c r="D91" s="372"/>
      <c r="E91" s="373"/>
      <c r="F91" s="372"/>
      <c r="G91" s="372"/>
    </row>
    <row r="92" spans="1:7" s="676" customFormat="1" ht="13.8">
      <c r="B92" s="581" t="s">
        <v>1727</v>
      </c>
      <c r="C92" s="677"/>
      <c r="D92" s="677"/>
      <c r="E92" s="678"/>
    </row>
    <row r="94" spans="1:7" ht="12.75" customHeight="1">
      <c r="C94" s="393" t="s">
        <v>1688</v>
      </c>
    </row>
    <row r="95" spans="1:7" ht="12.75" customHeight="1">
      <c r="D95" s="372" t="str">
        <f>nmProd1Seg1</f>
        <v>Productivity &amp; Business Enterprise</v>
      </c>
      <c r="E95" s="397">
        <f t="shared" ref="E95" si="43">CalcProd1Seg1NewVolume+CalcProd1Seg1RenewalVolume</f>
        <v>5833156.7715225276</v>
      </c>
    </row>
    <row r="96" spans="1:7" ht="12.75" customHeight="1">
      <c r="D96" s="372" t="str">
        <f>nmProd1Seg2</f>
        <v>Productivity &amp; Business SMC</v>
      </c>
      <c r="E96" s="397">
        <f t="shared" ref="E96" si="44">CalcProd1Seg2NewVolume+CalcProd1Seg2RenewalVolume</f>
        <v>3736238.5420548613</v>
      </c>
    </row>
    <row r="97" spans="4:6" ht="12.75" customHeight="1">
      <c r="D97" s="372" t="str">
        <f>nmProd1Seg3</f>
        <v>Productivity &amp; Business Consumer</v>
      </c>
      <c r="E97" s="397">
        <f t="shared" ref="E97" si="45">CalcProd1Seg3NewVolume+CalcProd1Seg3RenewalVolume</f>
        <v>7175537.9458231088</v>
      </c>
    </row>
    <row r="98" spans="4:6" ht="12.75" customHeight="1">
      <c r="D98" s="372" t="str">
        <f>nmProd2Seg1</f>
        <v>Intelligent Cloud Enterprise</v>
      </c>
      <c r="E98" s="397">
        <f t="shared" ref="E98" si="46">CalcProd2Seg1TotalVolume</f>
        <v>3238507.4228520477</v>
      </c>
    </row>
    <row r="99" spans="4:6" ht="12.75" customHeight="1">
      <c r="D99" s="372" t="str">
        <f>nmProd2Seg2</f>
        <v>Intelligent Cloud SMC</v>
      </c>
      <c r="E99" s="397">
        <f t="shared" ref="E99" si="47">CalcProd2Seg2TotalVolume</f>
        <v>4257536.2490326185</v>
      </c>
    </row>
    <row r="101" spans="4:6" ht="12.75" customHeight="1">
      <c r="D101" s="372" t="str">
        <f>nmProd1Seg1</f>
        <v>Productivity &amp; Business Enterprise</v>
      </c>
      <c r="E101" s="701">
        <f t="shared" ref="E101" si="48">E95/CalcTotalCloudSubs</f>
        <v>0.24063208294193428</v>
      </c>
    </row>
    <row r="102" spans="4:6" ht="12.75" customHeight="1">
      <c r="D102" s="372" t="str">
        <f>nmProd1Seg2</f>
        <v>Productivity &amp; Business SMC</v>
      </c>
      <c r="E102" s="701">
        <f t="shared" ref="E102" si="49">E96/CalcTotalCloudSubs</f>
        <v>0.15412904160776247</v>
      </c>
    </row>
    <row r="103" spans="4:6" ht="12.75" customHeight="1">
      <c r="D103" s="372" t="str">
        <f>nmProd1Seg3</f>
        <v>Productivity &amp; Business Consumer</v>
      </c>
      <c r="E103" s="701">
        <f t="shared" ref="E103" si="50">E97/CalcTotalCloudSubs</f>
        <v>0.29600861244838816</v>
      </c>
    </row>
    <row r="104" spans="4:6" ht="12.75" customHeight="1">
      <c r="D104" s="372" t="str">
        <f>nmProd2Seg1</f>
        <v>Intelligent Cloud Enterprise</v>
      </c>
      <c r="E104" s="701">
        <f t="shared" ref="E104" si="51">E98/CalcTotalCloudSubs</f>
        <v>0.1335964071098332</v>
      </c>
    </row>
    <row r="105" spans="4:6" ht="12.75" customHeight="1">
      <c r="D105" s="372" t="str">
        <f>nmProd2Seg2</f>
        <v>Intelligent Cloud SMC</v>
      </c>
      <c r="E105" s="701">
        <f t="shared" ref="E105" si="52">E99/CalcTotalCloudSubs</f>
        <v>0.17563385589208183</v>
      </c>
    </row>
    <row r="106" spans="4:6" ht="12.75" customHeight="1">
      <c r="E106" s="711"/>
    </row>
    <row r="107" spans="4:6" ht="12.75" customHeight="1">
      <c r="D107" s="372" t="str">
        <f>nmProd1Seg1</f>
        <v>Productivity &amp; Business Enterprise</v>
      </c>
      <c r="E107" s="701">
        <f t="shared" ref="E107" si="53">calcRenRateProd1Seg1RenewalRateEnd*E101</f>
        <v>0.16602261914407221</v>
      </c>
    </row>
    <row r="108" spans="4:6" ht="12.75" customHeight="1">
      <c r="D108" s="372" t="str">
        <f>nmProd1Seg2</f>
        <v>Productivity &amp; Business SMC</v>
      </c>
      <c r="E108" s="701">
        <f t="shared" ref="E108" si="54">calcRenRateProd1Seg2RenewalRateEnd*E102</f>
        <v>0.10634038013983838</v>
      </c>
    </row>
    <row r="109" spans="4:6" ht="12.75" customHeight="1">
      <c r="D109" s="372" t="str">
        <f>nmProd1Seg3</f>
        <v>Productivity &amp; Business Consumer</v>
      </c>
      <c r="E109" s="701">
        <f t="shared" ref="E109" si="55">calcRenRateProd1Seg3RenewalRateEnd*E103</f>
        <v>0.20422931359382673</v>
      </c>
    </row>
    <row r="110" spans="4:6" ht="12.75" customHeight="1">
      <c r="D110" s="372" t="str">
        <f>nmProd2Seg1</f>
        <v>Intelligent Cloud Enterprise</v>
      </c>
      <c r="E110" s="701">
        <f>calcRenRateProd2Seg1RenewalRateEnd*E104</f>
        <v>9.2174015806381099E-2</v>
      </c>
    </row>
    <row r="111" spans="4:6" ht="12.75" customHeight="1">
      <c r="D111" s="372" t="str">
        <f>nmProd2Seg2</f>
        <v>Intelligent Cloud SMC</v>
      </c>
      <c r="E111" s="701">
        <f>calcRenRateProd2Seg2RenewalRateEnd*E105</f>
        <v>0.12117749391136769</v>
      </c>
    </row>
    <row r="112" spans="4:6" ht="12.75" customHeight="1">
      <c r="D112" s="393" t="s">
        <v>1725</v>
      </c>
      <c r="E112" s="705">
        <f>SUM(E107:E111)</f>
        <v>0.68994382259548614</v>
      </c>
      <c r="F112" s="629" t="s">
        <v>1726</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theme="2"/>
  </sheetPr>
  <dimension ref="A1:Z122"/>
  <sheetViews>
    <sheetView topLeftCell="A61" workbookViewId="0">
      <selection activeCell="E101" sqref="E101"/>
    </sheetView>
  </sheetViews>
  <sheetFormatPr defaultRowHeight="13.8"/>
  <cols>
    <col min="1" max="1" width="1.54296875" customWidth="1"/>
    <col min="3" max="3" width="28.36328125" customWidth="1"/>
    <col min="4" max="4" width="7.7265625" customWidth="1"/>
    <col min="5" max="15" width="11" customWidth="1"/>
  </cols>
  <sheetData>
    <row r="1" spans="1:23" s="874" customFormat="1" ht="16.2">
      <c r="A1" s="873" t="s">
        <v>2244</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3"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3188</v>
      </c>
      <c r="P2" s="875"/>
      <c r="Q2" s="875"/>
      <c r="R2" s="875"/>
      <c r="S2" s="875"/>
      <c r="U2" s="873"/>
    </row>
    <row r="3" spans="1:23" s="293" customFormat="1">
      <c r="B3" s="295" t="str">
        <f>nmProd1Seg1&amp;" Renewed Subscription Inputs"</f>
        <v>Productivity &amp; Business Enterprise Renewed Subscription Inputs</v>
      </c>
      <c r="E3" s="294"/>
      <c r="F3" s="294"/>
      <c r="G3" s="294"/>
      <c r="H3" s="294"/>
      <c r="I3" s="294"/>
      <c r="J3" s="294"/>
      <c r="K3" s="294"/>
      <c r="L3" s="294"/>
      <c r="M3" s="294"/>
      <c r="N3" s="294"/>
      <c r="O3" s="294"/>
    </row>
    <row r="4" spans="1:23" s="285" customFormat="1">
      <c r="B4" s="302" t="s">
        <v>795</v>
      </c>
      <c r="C4" s="302"/>
      <c r="D4" s="302"/>
      <c r="F4" s="302"/>
      <c r="G4" s="302"/>
      <c r="H4" s="302"/>
      <c r="K4" s="302"/>
      <c r="L4" s="302"/>
      <c r="M4" s="302"/>
      <c r="P4" s="302"/>
    </row>
    <row r="5" spans="1:23" s="285" customFormat="1">
      <c r="B5" s="302"/>
      <c r="C5" s="302"/>
      <c r="D5" s="302"/>
      <c r="F5" s="302"/>
      <c r="G5" s="302"/>
      <c r="H5" s="302"/>
      <c r="K5" s="302"/>
      <c r="L5" s="302"/>
      <c r="M5" s="302"/>
      <c r="P5" s="302"/>
    </row>
    <row r="6" spans="1:23" s="285" customFormat="1">
      <c r="C6" s="292"/>
      <c r="E6" s="298" t="s">
        <v>7</v>
      </c>
      <c r="F6" s="298" t="s">
        <v>8</v>
      </c>
      <c r="G6" s="298" t="s">
        <v>9</v>
      </c>
      <c r="H6" s="298" t="s">
        <v>10</v>
      </c>
      <c r="I6" s="298" t="s">
        <v>767</v>
      </c>
      <c r="J6" s="298" t="s">
        <v>744</v>
      </c>
      <c r="K6" s="298" t="s">
        <v>745</v>
      </c>
      <c r="L6" s="298" t="s">
        <v>746</v>
      </c>
      <c r="M6" s="298" t="s">
        <v>747</v>
      </c>
      <c r="N6" s="298" t="s">
        <v>748</v>
      </c>
      <c r="O6" s="298" t="s">
        <v>922</v>
      </c>
      <c r="P6" s="287"/>
    </row>
    <row r="7" spans="1:23" s="285" customFormat="1" ht="2.25" customHeight="1">
      <c r="C7" s="292"/>
      <c r="E7" s="298"/>
      <c r="F7" s="298"/>
      <c r="G7" s="298"/>
      <c r="H7" s="298"/>
      <c r="I7" s="298"/>
      <c r="J7" s="298"/>
      <c r="K7" s="298"/>
      <c r="L7" s="298"/>
      <c r="M7" s="298"/>
      <c r="N7" s="298"/>
      <c r="O7" s="298"/>
      <c r="P7" s="287"/>
    </row>
    <row r="8" spans="1:23" s="285" customFormat="1">
      <c r="C8" s="292" t="s">
        <v>769</v>
      </c>
      <c r="E8" s="326">
        <f t="shared" ref="E8:N8" si="0">obalProd1Seg1TotalSubs</f>
        <v>5277134.7351524867</v>
      </c>
      <c r="F8" s="326">
        <f t="shared" si="0"/>
        <v>5277134.7351524867</v>
      </c>
      <c r="G8" s="326">
        <f t="shared" si="0"/>
        <v>5277134.7351524867</v>
      </c>
      <c r="H8" s="326">
        <f t="shared" si="0"/>
        <v>5277134.7351524867</v>
      </c>
      <c r="I8" s="326">
        <f t="shared" si="0"/>
        <v>5277134.7351524867</v>
      </c>
      <c r="J8" s="326">
        <f t="shared" si="0"/>
        <v>5277134.7351524867</v>
      </c>
      <c r="K8" s="326">
        <f t="shared" si="0"/>
        <v>5277134.7351524867</v>
      </c>
      <c r="L8" s="326">
        <f t="shared" si="0"/>
        <v>5277134.7351524867</v>
      </c>
      <c r="M8" s="326">
        <f t="shared" si="0"/>
        <v>5277134.7351524867</v>
      </c>
      <c r="N8" s="326">
        <f t="shared" si="0"/>
        <v>5277134.7351524867</v>
      </c>
      <c r="O8" s="326">
        <f>mmCompetitorProd1Seg1TotalSubs</f>
        <v>3957851</v>
      </c>
      <c r="P8" s="297" t="s">
        <v>794</v>
      </c>
    </row>
    <row r="9" spans="1:23" s="285" customFormat="1">
      <c r="A9" s="296" t="b">
        <f>IF(mmSubProd1Seg1FinModel="Insurance",FALSE,TRUE)</f>
        <v>1</v>
      </c>
      <c r="B9" s="302"/>
      <c r="C9" s="302"/>
      <c r="D9" s="302"/>
      <c r="F9" s="302"/>
      <c r="G9" s="302"/>
      <c r="H9" s="302"/>
      <c r="K9" s="302"/>
      <c r="L9" s="302"/>
      <c r="M9" s="302"/>
      <c r="P9" s="302"/>
    </row>
    <row r="10" spans="1:23" s="285" customFormat="1">
      <c r="E10" s="302"/>
      <c r="J10" s="302"/>
    </row>
    <row r="11" spans="1:23" s="285" customFormat="1">
      <c r="C11" s="298" t="s">
        <v>793</v>
      </c>
    </row>
    <row r="12" spans="1:23" s="285" customFormat="1">
      <c r="C12" s="285" t="s">
        <v>788</v>
      </c>
      <c r="D12" s="325">
        <v>0.05</v>
      </c>
      <c r="E12" s="322"/>
      <c r="F12" s="322"/>
      <c r="J12" s="322"/>
      <c r="K12" s="322"/>
    </row>
    <row r="13" spans="1:23" s="285" customFormat="1">
      <c r="C13" s="285" t="s">
        <v>787</v>
      </c>
      <c r="D13" s="324">
        <f>SUM(R18,W18:W18)</f>
        <v>-0.01</v>
      </c>
      <c r="E13" s="322"/>
      <c r="F13" s="322"/>
      <c r="J13" s="322"/>
      <c r="K13" s="322"/>
      <c r="T13" s="323"/>
      <c r="U13" s="323"/>
      <c r="V13" s="323"/>
      <c r="W13" s="323"/>
    </row>
    <row r="14" spans="1:23" s="285" customFormat="1" ht="14.4" thickBot="1">
      <c r="E14" s="302"/>
      <c r="J14" s="302"/>
      <c r="S14" s="322"/>
      <c r="W14" s="321"/>
    </row>
    <row r="15" spans="1:23" s="285" customFormat="1">
      <c r="C15" s="320"/>
      <c r="D15" s="288"/>
      <c r="E15" s="298" t="s">
        <v>7</v>
      </c>
      <c r="F15" s="298" t="s">
        <v>8</v>
      </c>
      <c r="G15" s="298" t="s">
        <v>9</v>
      </c>
      <c r="H15" s="298" t="s">
        <v>10</v>
      </c>
      <c r="I15" s="298" t="s">
        <v>767</v>
      </c>
      <c r="J15" s="298" t="s">
        <v>744</v>
      </c>
      <c r="K15" s="298" t="s">
        <v>745</v>
      </c>
      <c r="L15" s="298" t="s">
        <v>746</v>
      </c>
      <c r="M15" s="298" t="s">
        <v>747</v>
      </c>
      <c r="N15" s="298" t="s">
        <v>748</v>
      </c>
      <c r="O15" s="298" t="s">
        <v>749</v>
      </c>
    </row>
    <row r="16" spans="1:23" s="285" customFormat="1" ht="14.4" thickBot="1">
      <c r="C16" s="316" t="s">
        <v>791</v>
      </c>
      <c r="D16" s="315"/>
      <c r="E16" s="319">
        <v>0.7</v>
      </c>
      <c r="F16" s="319">
        <v>0.7</v>
      </c>
      <c r="G16" s="319">
        <v>0.7</v>
      </c>
      <c r="H16" s="319">
        <v>0.7</v>
      </c>
      <c r="I16" s="319">
        <v>0.7</v>
      </c>
      <c r="J16" s="319">
        <v>0.7</v>
      </c>
      <c r="K16" s="319">
        <v>0.7</v>
      </c>
      <c r="L16" s="319">
        <v>0.7</v>
      </c>
      <c r="M16" s="319">
        <v>0.7</v>
      </c>
      <c r="N16" s="319">
        <v>0.7</v>
      </c>
      <c r="O16" s="319">
        <f ca="1">mmCompetitorProd1Seg1RenRate</f>
        <v>0.51745786694661466</v>
      </c>
      <c r="P16" s="302" t="s">
        <v>790</v>
      </c>
      <c r="R16" s="304" t="s">
        <v>789</v>
      </c>
      <c r="S16" s="304"/>
    </row>
    <row r="17" spans="1:23" s="285" customFormat="1" ht="14.4" thickBot="1">
      <c r="C17" s="318" t="s">
        <v>2665</v>
      </c>
      <c r="D17" s="331"/>
      <c r="E17" s="718">
        <f t="shared" ref="E17:N17" si="1">(cbalCPE-obalCPE)*$R17</f>
        <v>-9.9093749999999408E-3</v>
      </c>
      <c r="F17" s="709">
        <f t="shared" si="1"/>
        <v>-9.9093749999999408E-3</v>
      </c>
      <c r="G17" s="709">
        <f t="shared" si="1"/>
        <v>-9.9093749999999408E-3</v>
      </c>
      <c r="H17" s="709">
        <f t="shared" si="1"/>
        <v>-9.9093749999999408E-3</v>
      </c>
      <c r="I17" s="709">
        <f t="shared" si="1"/>
        <v>-9.9093749999999408E-3</v>
      </c>
      <c r="J17" s="718">
        <f t="shared" si="1"/>
        <v>-9.9093749999999408E-3</v>
      </c>
      <c r="K17" s="709">
        <f t="shared" si="1"/>
        <v>-9.9093749999999408E-3</v>
      </c>
      <c r="L17" s="709">
        <f t="shared" si="1"/>
        <v>-9.9093749999999408E-3</v>
      </c>
      <c r="M17" s="709">
        <f t="shared" si="1"/>
        <v>-9.9093749999999408E-3</v>
      </c>
      <c r="N17" s="709">
        <f t="shared" si="1"/>
        <v>-9.9093749999999408E-3</v>
      </c>
      <c r="O17" s="709"/>
      <c r="R17" s="332">
        <v>7.4999999999999997E-3</v>
      </c>
      <c r="S17" s="304"/>
      <c r="T17" s="304"/>
      <c r="U17" s="304"/>
      <c r="V17" s="304"/>
      <c r="W17" s="304"/>
    </row>
    <row r="18" spans="1:23" s="285" customFormat="1">
      <c r="C18" s="318" t="s">
        <v>925</v>
      </c>
      <c r="D18" s="331"/>
      <c r="E18" s="1217">
        <f t="shared" ref="E18:N18" si="2">IF(obalOpsDataCenterUtilization&lt;=0.3,0,(obalOpsDataCenterUtilization-0.3)*$R18)</f>
        <v>-1.4680240451394046E-4</v>
      </c>
      <c r="F18" s="1217">
        <f t="shared" si="2"/>
        <v>-1.4680240451394046E-4</v>
      </c>
      <c r="G18" s="1217">
        <f t="shared" si="2"/>
        <v>-1.4680240451394046E-4</v>
      </c>
      <c r="H18" s="1217">
        <f t="shared" si="2"/>
        <v>-1.4680240451394046E-4</v>
      </c>
      <c r="I18" s="1217">
        <f t="shared" si="2"/>
        <v>-1.4680240451394046E-4</v>
      </c>
      <c r="J18" s="718">
        <f t="shared" si="2"/>
        <v>-1.4680240451394046E-4</v>
      </c>
      <c r="K18" s="718">
        <f t="shared" si="2"/>
        <v>-1.4680240451394046E-4</v>
      </c>
      <c r="L18" s="718">
        <f t="shared" si="2"/>
        <v>-1.4680240451394046E-4</v>
      </c>
      <c r="M18" s="718">
        <f t="shared" si="2"/>
        <v>-1.4680240451394046E-4</v>
      </c>
      <c r="N18" s="718">
        <f t="shared" si="2"/>
        <v>-1.4680240451394046E-4</v>
      </c>
      <c r="O18" s="718"/>
      <c r="R18" s="719">
        <v>-0.01</v>
      </c>
      <c r="S18" s="304"/>
      <c r="T18" s="304"/>
      <c r="U18" s="304"/>
      <c r="V18" s="304"/>
      <c r="W18" s="304"/>
    </row>
    <row r="19" spans="1:23" s="285" customFormat="1" ht="14.4" thickBot="1">
      <c r="C19" s="316" t="s">
        <v>778</v>
      </c>
      <c r="D19" s="315"/>
      <c r="E19" s="314">
        <f t="shared" ref="E19:O19" si="3">ManualAdjProd1Seg1RenRate</f>
        <v>0</v>
      </c>
      <c r="F19" s="314">
        <f t="shared" si="3"/>
        <v>0</v>
      </c>
      <c r="G19" s="314">
        <f t="shared" si="3"/>
        <v>0</v>
      </c>
      <c r="H19" s="314">
        <f t="shared" si="3"/>
        <v>0</v>
      </c>
      <c r="I19" s="314">
        <f t="shared" si="3"/>
        <v>0</v>
      </c>
      <c r="J19" s="314">
        <f t="shared" si="3"/>
        <v>0</v>
      </c>
      <c r="K19" s="314">
        <f t="shared" si="3"/>
        <v>0</v>
      </c>
      <c r="L19" s="314">
        <f t="shared" si="3"/>
        <v>0</v>
      </c>
      <c r="M19" s="314">
        <f t="shared" si="3"/>
        <v>0</v>
      </c>
      <c r="N19" s="314">
        <f t="shared" si="3"/>
        <v>0</v>
      </c>
      <c r="O19" s="314">
        <f t="shared" si="3"/>
        <v>0</v>
      </c>
      <c r="P19" s="285" t="s">
        <v>3189</v>
      </c>
      <c r="R19" s="330" t="s">
        <v>784</v>
      </c>
      <c r="S19" s="329" t="s">
        <v>783</v>
      </c>
      <c r="T19" s="329" t="s">
        <v>782</v>
      </c>
      <c r="U19" s="329" t="s">
        <v>781</v>
      </c>
      <c r="V19" s="329" t="s">
        <v>780</v>
      </c>
      <c r="W19" s="328" t="s">
        <v>779</v>
      </c>
    </row>
    <row r="20" spans="1:23" s="309" customFormat="1" ht="2.1" customHeight="1">
      <c r="A20" s="327"/>
      <c r="B20" s="285"/>
      <c r="C20" s="313"/>
      <c r="D20" s="312"/>
      <c r="E20" s="312"/>
      <c r="F20" s="311"/>
      <c r="G20" s="311"/>
      <c r="H20" s="311"/>
      <c r="I20" s="311"/>
      <c r="J20" s="312"/>
      <c r="K20" s="311"/>
      <c r="L20" s="311"/>
      <c r="M20" s="311"/>
      <c r="N20" s="311"/>
      <c r="O20" s="311"/>
      <c r="R20" s="285"/>
      <c r="S20" s="285"/>
      <c r="T20" s="285"/>
      <c r="U20" s="285"/>
      <c r="V20" s="285"/>
      <c r="W20" s="285"/>
    </row>
    <row r="21" spans="1:23" s="285" customFormat="1" ht="14.4" thickBot="1">
      <c r="C21" s="308" t="s">
        <v>770</v>
      </c>
      <c r="D21" s="307"/>
      <c r="E21" s="306">
        <f t="shared" ref="E21:O21" si="4">IF(xxRound=0,E16,SUM(E16:E19))</f>
        <v>0.68994382259548614</v>
      </c>
      <c r="F21" s="306">
        <f t="shared" si="4"/>
        <v>0.68994382259548614</v>
      </c>
      <c r="G21" s="306">
        <f t="shared" si="4"/>
        <v>0.68994382259548614</v>
      </c>
      <c r="H21" s="306">
        <f t="shared" si="4"/>
        <v>0.68994382259548614</v>
      </c>
      <c r="I21" s="306">
        <f t="shared" si="4"/>
        <v>0.68994382259548614</v>
      </c>
      <c r="J21" s="306">
        <f t="shared" si="4"/>
        <v>0.68994382259548614</v>
      </c>
      <c r="K21" s="306">
        <f t="shared" si="4"/>
        <v>0.68994382259548614</v>
      </c>
      <c r="L21" s="306">
        <f t="shared" si="4"/>
        <v>0.68994382259548614</v>
      </c>
      <c r="M21" s="306">
        <f t="shared" si="4"/>
        <v>0.68994382259548614</v>
      </c>
      <c r="N21" s="306">
        <f t="shared" si="4"/>
        <v>0.68994382259548614</v>
      </c>
      <c r="O21" s="306">
        <f t="shared" ca="1" si="4"/>
        <v>0.51745786694661466</v>
      </c>
      <c r="P21" s="285" t="s">
        <v>3190</v>
      </c>
    </row>
    <row r="22" spans="1:23" s="285" customFormat="1">
      <c r="P22" s="302"/>
    </row>
    <row r="23" spans="1:23" s="293" customFormat="1">
      <c r="B23" s="295" t="str">
        <f>nmProd1Seg2&amp;" Renewed Subscription Inputs"</f>
        <v>Productivity &amp; Business SMC Renewed Subscription Inputs</v>
      </c>
      <c r="E23" s="294"/>
      <c r="F23" s="294"/>
      <c r="G23" s="294"/>
      <c r="H23" s="294"/>
      <c r="I23" s="294"/>
      <c r="J23" s="294"/>
      <c r="K23" s="294"/>
      <c r="L23" s="294"/>
      <c r="M23" s="294"/>
      <c r="N23" s="294"/>
      <c r="O23" s="294"/>
    </row>
    <row r="24" spans="1:23" s="285" customFormat="1">
      <c r="B24" s="302" t="s">
        <v>795</v>
      </c>
      <c r="C24" s="302"/>
      <c r="D24" s="302"/>
      <c r="F24" s="302"/>
      <c r="G24" s="302"/>
      <c r="H24" s="302"/>
      <c r="K24" s="302"/>
      <c r="L24" s="302"/>
      <c r="M24" s="302"/>
      <c r="P24" s="302"/>
    </row>
    <row r="25" spans="1:23" s="285" customFormat="1">
      <c r="B25" s="302"/>
      <c r="C25" s="302"/>
      <c r="D25" s="302"/>
      <c r="F25" s="302"/>
      <c r="G25" s="302"/>
      <c r="H25" s="302"/>
      <c r="K25" s="302"/>
      <c r="L25" s="302"/>
      <c r="M25" s="302"/>
      <c r="P25" s="302"/>
    </row>
    <row r="26" spans="1:23" s="285" customFormat="1">
      <c r="C26" s="292"/>
      <c r="E26" s="298" t="s">
        <v>7</v>
      </c>
      <c r="F26" s="298" t="s">
        <v>8</v>
      </c>
      <c r="G26" s="298" t="s">
        <v>9</v>
      </c>
      <c r="H26" s="298" t="s">
        <v>10</v>
      </c>
      <c r="I26" s="298" t="s">
        <v>767</v>
      </c>
      <c r="J26" s="298" t="s">
        <v>744</v>
      </c>
      <c r="K26" s="298" t="s">
        <v>745</v>
      </c>
      <c r="L26" s="298" t="s">
        <v>746</v>
      </c>
      <c r="M26" s="298" t="s">
        <v>747</v>
      </c>
      <c r="N26" s="298" t="s">
        <v>748</v>
      </c>
      <c r="O26" s="298" t="s">
        <v>922</v>
      </c>
      <c r="P26" s="287"/>
    </row>
    <row r="27" spans="1:23" s="285" customFormat="1" ht="2.25" customHeight="1">
      <c r="C27" s="292"/>
      <c r="E27" s="298"/>
      <c r="F27" s="298"/>
      <c r="G27" s="298"/>
      <c r="H27" s="298"/>
      <c r="I27" s="298"/>
      <c r="J27" s="298"/>
      <c r="K27" s="298"/>
      <c r="L27" s="298"/>
      <c r="M27" s="298"/>
      <c r="N27" s="298"/>
      <c r="O27" s="298"/>
      <c r="P27" s="287"/>
    </row>
    <row r="28" spans="1:23" s="285" customFormat="1">
      <c r="C28" s="292" t="s">
        <v>769</v>
      </c>
      <c r="E28" s="326">
        <f t="shared" ref="E28:N28" si="5">obalProd1Seg2TotalSubs</f>
        <v>3207977.8665581774</v>
      </c>
      <c r="F28" s="326">
        <f t="shared" si="5"/>
        <v>3207977.8665581774</v>
      </c>
      <c r="G28" s="326">
        <f t="shared" si="5"/>
        <v>3207977.8665581774</v>
      </c>
      <c r="H28" s="326">
        <f t="shared" si="5"/>
        <v>3207977.8665581774</v>
      </c>
      <c r="I28" s="326">
        <f t="shared" si="5"/>
        <v>3207977.8665581774</v>
      </c>
      <c r="J28" s="326">
        <f t="shared" si="5"/>
        <v>3207977.8665581774</v>
      </c>
      <c r="K28" s="326">
        <f t="shared" si="5"/>
        <v>3207977.8665581774</v>
      </c>
      <c r="L28" s="326">
        <f t="shared" si="5"/>
        <v>3207977.8665581774</v>
      </c>
      <c r="M28" s="326">
        <f t="shared" si="5"/>
        <v>3207977.8665581774</v>
      </c>
      <c r="N28" s="326">
        <f t="shared" si="5"/>
        <v>3207977.8665581774</v>
      </c>
      <c r="O28" s="326">
        <f>mmCompetitorProd1Seg2TotalSubs</f>
        <v>2405983</v>
      </c>
      <c r="P28" s="297" t="s">
        <v>794</v>
      </c>
    </row>
    <row r="29" spans="1:23" s="285" customFormat="1">
      <c r="E29" s="302"/>
      <c r="J29" s="302"/>
    </row>
    <row r="30" spans="1:23" s="285" customFormat="1">
      <c r="C30" s="298" t="s">
        <v>793</v>
      </c>
    </row>
    <row r="31" spans="1:23" s="285" customFormat="1">
      <c r="C31" s="285" t="s">
        <v>788</v>
      </c>
      <c r="D31" s="325">
        <v>0.05</v>
      </c>
      <c r="E31" s="322"/>
      <c r="F31" s="322"/>
      <c r="J31" s="322"/>
      <c r="K31" s="322"/>
    </row>
    <row r="32" spans="1:23" s="285" customFormat="1">
      <c r="C32" s="285" t="s">
        <v>787</v>
      </c>
      <c r="D32" s="324">
        <f>SUM(R37,W37:W37)</f>
        <v>-0.01</v>
      </c>
      <c r="E32" s="322"/>
      <c r="F32" s="322"/>
      <c r="J32" s="322"/>
      <c r="K32" s="322"/>
      <c r="T32" s="323"/>
      <c r="U32" s="323"/>
      <c r="V32" s="323"/>
      <c r="W32" s="323"/>
    </row>
    <row r="33" spans="1:23" s="285" customFormat="1" ht="14.4" thickBot="1">
      <c r="E33" s="302"/>
      <c r="J33" s="302"/>
      <c r="S33" s="322"/>
      <c r="W33" s="321"/>
    </row>
    <row r="34" spans="1:23" s="285" customFormat="1">
      <c r="C34" s="320"/>
      <c r="D34" s="288"/>
      <c r="E34" s="298" t="s">
        <v>7</v>
      </c>
      <c r="F34" s="298" t="s">
        <v>8</v>
      </c>
      <c r="G34" s="298" t="s">
        <v>9</v>
      </c>
      <c r="H34" s="298" t="s">
        <v>10</v>
      </c>
      <c r="I34" s="298" t="s">
        <v>767</v>
      </c>
      <c r="J34" s="298" t="s">
        <v>744</v>
      </c>
      <c r="K34" s="298" t="s">
        <v>745</v>
      </c>
      <c r="L34" s="298" t="s">
        <v>746</v>
      </c>
      <c r="M34" s="298" t="s">
        <v>747</v>
      </c>
      <c r="N34" s="298" t="s">
        <v>748</v>
      </c>
      <c r="O34" s="298" t="s">
        <v>749</v>
      </c>
    </row>
    <row r="35" spans="1:23" s="285" customFormat="1" ht="14.4" thickBot="1">
      <c r="C35" s="316" t="s">
        <v>791</v>
      </c>
      <c r="D35" s="315"/>
      <c r="E35" s="319">
        <v>0.7</v>
      </c>
      <c r="F35" s="319">
        <v>0.7</v>
      </c>
      <c r="G35" s="319">
        <v>0.7</v>
      </c>
      <c r="H35" s="319">
        <v>0.7</v>
      </c>
      <c r="I35" s="319">
        <v>0.7</v>
      </c>
      <c r="J35" s="319">
        <v>0.7</v>
      </c>
      <c r="K35" s="319">
        <v>0.7</v>
      </c>
      <c r="L35" s="319">
        <v>0.7</v>
      </c>
      <c r="M35" s="319">
        <v>0.7</v>
      </c>
      <c r="N35" s="319">
        <v>0.7</v>
      </c>
      <c r="O35" s="319">
        <f ca="1">mmCompetitorProd1Seg2RenRate</f>
        <v>0.51745786694661466</v>
      </c>
      <c r="P35" s="302" t="s">
        <v>790</v>
      </c>
      <c r="R35" s="304" t="s">
        <v>789</v>
      </c>
      <c r="S35" s="304"/>
    </row>
    <row r="36" spans="1:23" s="285" customFormat="1" ht="14.4" thickBot="1">
      <c r="C36" s="318" t="s">
        <v>2665</v>
      </c>
      <c r="D36" s="331"/>
      <c r="E36" s="718">
        <f t="shared" ref="E36:N36" si="6">(cbalCPE-obalCPE)*$R36</f>
        <v>-9.9093749999999408E-3</v>
      </c>
      <c r="F36" s="709">
        <f t="shared" si="6"/>
        <v>-9.9093749999999408E-3</v>
      </c>
      <c r="G36" s="709">
        <f t="shared" si="6"/>
        <v>-9.9093749999999408E-3</v>
      </c>
      <c r="H36" s="709">
        <f t="shared" si="6"/>
        <v>-9.9093749999999408E-3</v>
      </c>
      <c r="I36" s="709">
        <f t="shared" si="6"/>
        <v>-9.9093749999999408E-3</v>
      </c>
      <c r="J36" s="718">
        <f t="shared" si="6"/>
        <v>-9.9093749999999408E-3</v>
      </c>
      <c r="K36" s="709">
        <f t="shared" si="6"/>
        <v>-9.9093749999999408E-3</v>
      </c>
      <c r="L36" s="709">
        <f t="shared" si="6"/>
        <v>-9.9093749999999408E-3</v>
      </c>
      <c r="M36" s="709">
        <f t="shared" si="6"/>
        <v>-9.9093749999999408E-3</v>
      </c>
      <c r="N36" s="709">
        <f t="shared" si="6"/>
        <v>-9.9093749999999408E-3</v>
      </c>
      <c r="O36" s="709"/>
      <c r="R36" s="332">
        <v>7.4999999999999997E-3</v>
      </c>
      <c r="S36" s="304"/>
      <c r="T36" s="304"/>
      <c r="U36" s="304"/>
      <c r="V36" s="304"/>
      <c r="W36" s="304"/>
    </row>
    <row r="37" spans="1:23" s="285" customFormat="1">
      <c r="C37" s="318" t="s">
        <v>925</v>
      </c>
      <c r="D37" s="331"/>
      <c r="E37" s="718">
        <f t="shared" ref="E37:N37" si="7">IF(obalOpsDataCenterUtilization&lt;=0.3,0,(obalOpsDataCenterUtilization-0.3)*$R37)</f>
        <v>-1.4680240451394046E-4</v>
      </c>
      <c r="F37" s="718">
        <f t="shared" si="7"/>
        <v>-1.4680240451394046E-4</v>
      </c>
      <c r="G37" s="718">
        <f t="shared" si="7"/>
        <v>-1.4680240451394046E-4</v>
      </c>
      <c r="H37" s="718">
        <f t="shared" si="7"/>
        <v>-1.4680240451394046E-4</v>
      </c>
      <c r="I37" s="718">
        <f t="shared" si="7"/>
        <v>-1.4680240451394046E-4</v>
      </c>
      <c r="J37" s="718">
        <f t="shared" si="7"/>
        <v>-1.4680240451394046E-4</v>
      </c>
      <c r="K37" s="718">
        <f t="shared" si="7"/>
        <v>-1.4680240451394046E-4</v>
      </c>
      <c r="L37" s="718">
        <f t="shared" si="7"/>
        <v>-1.4680240451394046E-4</v>
      </c>
      <c r="M37" s="718">
        <f t="shared" si="7"/>
        <v>-1.4680240451394046E-4</v>
      </c>
      <c r="N37" s="718">
        <f t="shared" si="7"/>
        <v>-1.4680240451394046E-4</v>
      </c>
      <c r="O37" s="718"/>
      <c r="R37" s="719">
        <v>-0.01</v>
      </c>
      <c r="S37" s="304"/>
      <c r="T37" s="304"/>
      <c r="U37" s="304"/>
      <c r="V37" s="304"/>
      <c r="W37" s="304"/>
    </row>
    <row r="38" spans="1:23" s="285" customFormat="1" ht="14.4" thickBot="1">
      <c r="C38" s="316" t="s">
        <v>778</v>
      </c>
      <c r="D38" s="315"/>
      <c r="E38" s="314">
        <f t="shared" ref="E38:O38" si="8">ManualAdjProd1Seg2RenRate</f>
        <v>0</v>
      </c>
      <c r="F38" s="314">
        <f t="shared" si="8"/>
        <v>0</v>
      </c>
      <c r="G38" s="314">
        <f t="shared" si="8"/>
        <v>0</v>
      </c>
      <c r="H38" s="314">
        <f t="shared" si="8"/>
        <v>0</v>
      </c>
      <c r="I38" s="314">
        <f t="shared" si="8"/>
        <v>0</v>
      </c>
      <c r="J38" s="314">
        <f t="shared" si="8"/>
        <v>0</v>
      </c>
      <c r="K38" s="314">
        <f t="shared" si="8"/>
        <v>0</v>
      </c>
      <c r="L38" s="314">
        <f t="shared" si="8"/>
        <v>0</v>
      </c>
      <c r="M38" s="314">
        <f t="shared" si="8"/>
        <v>0</v>
      </c>
      <c r="N38" s="314">
        <f t="shared" si="8"/>
        <v>0</v>
      </c>
      <c r="O38" s="314">
        <f t="shared" si="8"/>
        <v>0</v>
      </c>
      <c r="P38" s="285" t="s">
        <v>3191</v>
      </c>
      <c r="R38" s="330" t="s">
        <v>784</v>
      </c>
      <c r="S38" s="329" t="s">
        <v>783</v>
      </c>
      <c r="T38" s="329" t="s">
        <v>782</v>
      </c>
      <c r="U38" s="329" t="s">
        <v>781</v>
      </c>
      <c r="V38" s="329" t="s">
        <v>780</v>
      </c>
      <c r="W38" s="328" t="s">
        <v>779</v>
      </c>
    </row>
    <row r="39" spans="1:23" s="309" customFormat="1" ht="2.1" customHeight="1">
      <c r="A39" s="327"/>
      <c r="B39" s="285"/>
      <c r="C39" s="313"/>
      <c r="D39" s="312"/>
      <c r="E39" s="312"/>
      <c r="F39" s="311"/>
      <c r="G39" s="311"/>
      <c r="H39" s="311"/>
      <c r="I39" s="311"/>
      <c r="J39" s="312"/>
      <c r="K39" s="311"/>
      <c r="L39" s="311"/>
      <c r="M39" s="311"/>
      <c r="N39" s="311"/>
      <c r="O39" s="311"/>
      <c r="R39" s="285"/>
      <c r="S39" s="285"/>
      <c r="T39" s="285"/>
      <c r="U39" s="285"/>
      <c r="V39" s="285"/>
      <c r="W39" s="285"/>
    </row>
    <row r="40" spans="1:23" s="285" customFormat="1" ht="14.4" thickBot="1">
      <c r="C40" s="308" t="s">
        <v>770</v>
      </c>
      <c r="D40" s="307"/>
      <c r="E40" s="306">
        <f t="shared" ref="E40:O40" si="9">IF(xxRound=0,E35,SUM(E35:E38))</f>
        <v>0.68994382259548614</v>
      </c>
      <c r="F40" s="306">
        <f t="shared" si="9"/>
        <v>0.68994382259548614</v>
      </c>
      <c r="G40" s="306">
        <f t="shared" si="9"/>
        <v>0.68994382259548614</v>
      </c>
      <c r="H40" s="306">
        <f t="shared" si="9"/>
        <v>0.68994382259548614</v>
      </c>
      <c r="I40" s="306">
        <f t="shared" si="9"/>
        <v>0.68994382259548614</v>
      </c>
      <c r="J40" s="306">
        <f t="shared" si="9"/>
        <v>0.68994382259548614</v>
      </c>
      <c r="K40" s="306">
        <f t="shared" si="9"/>
        <v>0.68994382259548614</v>
      </c>
      <c r="L40" s="306">
        <f t="shared" si="9"/>
        <v>0.68994382259548614</v>
      </c>
      <c r="M40" s="306">
        <f t="shared" si="9"/>
        <v>0.68994382259548614</v>
      </c>
      <c r="N40" s="306">
        <f t="shared" si="9"/>
        <v>0.68994382259548614</v>
      </c>
      <c r="O40" s="306">
        <f t="shared" ca="1" si="9"/>
        <v>0.51745786694661466</v>
      </c>
      <c r="P40" s="285" t="s">
        <v>3192</v>
      </c>
    </row>
    <row r="41" spans="1:23" s="285" customFormat="1">
      <c r="P41" s="302"/>
    </row>
    <row r="42" spans="1:23" s="293" customFormat="1">
      <c r="B42" s="295" t="str">
        <f>nmProd1Seg3&amp;" Renewed Subscription Inputs"</f>
        <v>Productivity &amp; Business Consumer Renewed Subscription Inputs</v>
      </c>
      <c r="E42" s="294"/>
      <c r="F42" s="294"/>
      <c r="G42" s="294"/>
      <c r="H42" s="294"/>
      <c r="I42" s="294"/>
      <c r="J42" s="294"/>
      <c r="K42" s="294"/>
      <c r="L42" s="294"/>
      <c r="M42" s="294"/>
      <c r="N42" s="294"/>
      <c r="O42" s="294"/>
    </row>
    <row r="43" spans="1:23" s="285" customFormat="1">
      <c r="B43" s="302" t="s">
        <v>795</v>
      </c>
      <c r="C43" s="302"/>
      <c r="D43" s="302"/>
      <c r="F43" s="302"/>
      <c r="G43" s="302"/>
      <c r="H43" s="302"/>
      <c r="K43" s="302"/>
      <c r="L43" s="302"/>
      <c r="M43" s="302"/>
      <c r="P43" s="302"/>
    </row>
    <row r="44" spans="1:23" s="285" customFormat="1">
      <c r="B44" s="302"/>
      <c r="C44" s="302"/>
      <c r="D44" s="302"/>
      <c r="F44" s="302"/>
      <c r="G44" s="302"/>
      <c r="H44" s="302"/>
      <c r="K44" s="302"/>
      <c r="L44" s="302"/>
      <c r="M44" s="302"/>
      <c r="P44" s="302"/>
    </row>
    <row r="45" spans="1:23" s="285" customFormat="1">
      <c r="C45" s="292"/>
      <c r="E45" s="298" t="s">
        <v>7</v>
      </c>
      <c r="F45" s="298" t="s">
        <v>8</v>
      </c>
      <c r="G45" s="298" t="s">
        <v>9</v>
      </c>
      <c r="H45" s="298" t="s">
        <v>10</v>
      </c>
      <c r="I45" s="298" t="s">
        <v>767</v>
      </c>
      <c r="J45" s="298" t="s">
        <v>744</v>
      </c>
      <c r="K45" s="298" t="s">
        <v>745</v>
      </c>
      <c r="L45" s="298" t="s">
        <v>746</v>
      </c>
      <c r="M45" s="298" t="s">
        <v>747</v>
      </c>
      <c r="N45" s="298" t="s">
        <v>748</v>
      </c>
      <c r="O45" s="298" t="s">
        <v>749</v>
      </c>
      <c r="P45" s="287"/>
    </row>
    <row r="46" spans="1:23" s="285" customFormat="1" ht="2.25" customHeight="1">
      <c r="C46" s="292"/>
      <c r="E46" s="298"/>
      <c r="F46" s="298"/>
      <c r="G46" s="298"/>
      <c r="H46" s="298"/>
      <c r="I46" s="298"/>
      <c r="J46" s="298"/>
      <c r="K46" s="298"/>
      <c r="L46" s="298"/>
      <c r="M46" s="298"/>
      <c r="N46" s="298"/>
      <c r="O46" s="298"/>
      <c r="P46" s="287"/>
    </row>
    <row r="47" spans="1:23" s="285" customFormat="1">
      <c r="C47" s="292" t="s">
        <v>769</v>
      </c>
      <c r="E47" s="326">
        <f t="shared" ref="E47:N47" si="10">obalProd1Seg3TotalSubs</f>
        <v>8535883.4399999995</v>
      </c>
      <c r="F47" s="326">
        <f t="shared" si="10"/>
        <v>8535883.4399999995</v>
      </c>
      <c r="G47" s="326">
        <f t="shared" si="10"/>
        <v>8535883.4399999995</v>
      </c>
      <c r="H47" s="326">
        <f t="shared" si="10"/>
        <v>8535883.4399999995</v>
      </c>
      <c r="I47" s="326">
        <f t="shared" si="10"/>
        <v>8535883.4399999995</v>
      </c>
      <c r="J47" s="326">
        <f t="shared" si="10"/>
        <v>8535883.4399999995</v>
      </c>
      <c r="K47" s="326">
        <f t="shared" si="10"/>
        <v>8535883.4399999995</v>
      </c>
      <c r="L47" s="326">
        <f t="shared" si="10"/>
        <v>8535883.4399999995</v>
      </c>
      <c r="M47" s="326">
        <f t="shared" si="10"/>
        <v>8535883.4399999995</v>
      </c>
      <c r="N47" s="326">
        <f t="shared" si="10"/>
        <v>8535883.4399999995</v>
      </c>
      <c r="O47" s="326">
        <f>mmCompetitorProd1Seg3TotalSubs</f>
        <v>6401913</v>
      </c>
      <c r="P47" s="297" t="s">
        <v>794</v>
      </c>
    </row>
    <row r="48" spans="1:23" s="285" customFormat="1">
      <c r="E48" s="302"/>
      <c r="J48" s="302"/>
    </row>
    <row r="49" spans="1:23" s="285" customFormat="1">
      <c r="C49" s="298" t="s">
        <v>793</v>
      </c>
    </row>
    <row r="50" spans="1:23" s="285" customFormat="1">
      <c r="C50" s="285" t="s">
        <v>788</v>
      </c>
      <c r="D50" s="325">
        <v>0.05</v>
      </c>
      <c r="E50" s="322"/>
      <c r="F50" s="322"/>
      <c r="J50" s="322"/>
      <c r="K50" s="322"/>
    </row>
    <row r="51" spans="1:23" s="285" customFormat="1">
      <c r="C51" s="285" t="s">
        <v>787</v>
      </c>
      <c r="D51" s="324">
        <f>SUM(R56,W56:W56)</f>
        <v>-0.01</v>
      </c>
      <c r="E51" s="322"/>
      <c r="F51" s="322"/>
      <c r="J51" s="322"/>
      <c r="K51" s="322"/>
      <c r="T51" s="323"/>
      <c r="U51" s="323"/>
      <c r="V51" s="323"/>
      <c r="W51" s="323"/>
    </row>
    <row r="52" spans="1:23" s="285" customFormat="1" ht="14.4" thickBot="1">
      <c r="E52" s="302"/>
      <c r="J52" s="302"/>
      <c r="S52" s="322"/>
      <c r="W52" s="321"/>
    </row>
    <row r="53" spans="1:23" s="285" customFormat="1">
      <c r="C53" s="320"/>
      <c r="D53" s="288"/>
      <c r="E53" s="298" t="s">
        <v>7</v>
      </c>
      <c r="F53" s="298" t="s">
        <v>8</v>
      </c>
      <c r="G53" s="298" t="s">
        <v>9</v>
      </c>
      <c r="H53" s="298" t="s">
        <v>10</v>
      </c>
      <c r="I53" s="298" t="s">
        <v>767</v>
      </c>
      <c r="J53" s="298" t="s">
        <v>744</v>
      </c>
      <c r="K53" s="298" t="s">
        <v>745</v>
      </c>
      <c r="L53" s="298" t="s">
        <v>746</v>
      </c>
      <c r="M53" s="298" t="s">
        <v>747</v>
      </c>
      <c r="N53" s="298" t="s">
        <v>748</v>
      </c>
      <c r="O53" s="298" t="s">
        <v>749</v>
      </c>
    </row>
    <row r="54" spans="1:23" s="285" customFormat="1" ht="14.4" thickBot="1">
      <c r="C54" s="316" t="s">
        <v>791</v>
      </c>
      <c r="D54" s="315"/>
      <c r="E54" s="319">
        <v>0.7</v>
      </c>
      <c r="F54" s="319">
        <v>0.7</v>
      </c>
      <c r="G54" s="319">
        <v>0.7</v>
      </c>
      <c r="H54" s="319">
        <v>0.7</v>
      </c>
      <c r="I54" s="319">
        <v>0.7</v>
      </c>
      <c r="J54" s="319">
        <v>0.7</v>
      </c>
      <c r="K54" s="319">
        <v>0.7</v>
      </c>
      <c r="L54" s="319">
        <v>0.7</v>
      </c>
      <c r="M54" s="319">
        <v>0.7</v>
      </c>
      <c r="N54" s="319">
        <v>0.7</v>
      </c>
      <c r="O54" s="319">
        <f ca="1">mmCompetitorProd1Seg3RenRate</f>
        <v>0.51745786694661466</v>
      </c>
      <c r="P54" s="302" t="s">
        <v>790</v>
      </c>
      <c r="R54" s="304" t="s">
        <v>789</v>
      </c>
      <c r="S54" s="304"/>
    </row>
    <row r="55" spans="1:23" s="285" customFormat="1" ht="14.4" thickBot="1">
      <c r="C55" s="318" t="s">
        <v>2665</v>
      </c>
      <c r="D55" s="331"/>
      <c r="E55" s="718">
        <f t="shared" ref="E55:N55" si="11">(cbalCPE-obalCPE)*$R55</f>
        <v>-9.9093749999999408E-3</v>
      </c>
      <c r="F55" s="709">
        <f t="shared" si="11"/>
        <v>-9.9093749999999408E-3</v>
      </c>
      <c r="G55" s="709">
        <f t="shared" si="11"/>
        <v>-9.9093749999999408E-3</v>
      </c>
      <c r="H55" s="709">
        <f t="shared" si="11"/>
        <v>-9.9093749999999408E-3</v>
      </c>
      <c r="I55" s="709">
        <f t="shared" si="11"/>
        <v>-9.9093749999999408E-3</v>
      </c>
      <c r="J55" s="718">
        <f t="shared" si="11"/>
        <v>-9.9093749999999408E-3</v>
      </c>
      <c r="K55" s="709">
        <f t="shared" si="11"/>
        <v>-9.9093749999999408E-3</v>
      </c>
      <c r="L55" s="709">
        <f t="shared" si="11"/>
        <v>-9.9093749999999408E-3</v>
      </c>
      <c r="M55" s="709">
        <f t="shared" si="11"/>
        <v>-9.9093749999999408E-3</v>
      </c>
      <c r="N55" s="709">
        <f t="shared" si="11"/>
        <v>-9.9093749999999408E-3</v>
      </c>
      <c r="O55" s="709"/>
      <c r="R55" s="332">
        <v>7.4999999999999997E-3</v>
      </c>
      <c r="S55" s="304"/>
      <c r="T55" s="304"/>
      <c r="U55" s="304"/>
      <c r="V55" s="304"/>
      <c r="W55" s="304"/>
    </row>
    <row r="56" spans="1:23" s="285" customFormat="1">
      <c r="C56" s="318" t="s">
        <v>925</v>
      </c>
      <c r="D56" s="331"/>
      <c r="E56" s="718">
        <f t="shared" ref="E56:N56" si="12">IF(obalOpsDataCenterUtilization&lt;=0.3,0,(obalOpsDataCenterUtilization-0.3)*$R56)</f>
        <v>-1.4680240451394046E-4</v>
      </c>
      <c r="F56" s="718">
        <f t="shared" si="12"/>
        <v>-1.4680240451394046E-4</v>
      </c>
      <c r="G56" s="718">
        <f t="shared" si="12"/>
        <v>-1.4680240451394046E-4</v>
      </c>
      <c r="H56" s="718">
        <f t="shared" si="12"/>
        <v>-1.4680240451394046E-4</v>
      </c>
      <c r="I56" s="718">
        <f t="shared" si="12"/>
        <v>-1.4680240451394046E-4</v>
      </c>
      <c r="J56" s="718">
        <f t="shared" si="12"/>
        <v>-1.4680240451394046E-4</v>
      </c>
      <c r="K56" s="718">
        <f t="shared" si="12"/>
        <v>-1.4680240451394046E-4</v>
      </c>
      <c r="L56" s="718">
        <f t="shared" si="12"/>
        <v>-1.4680240451394046E-4</v>
      </c>
      <c r="M56" s="718">
        <f t="shared" si="12"/>
        <v>-1.4680240451394046E-4</v>
      </c>
      <c r="N56" s="718">
        <f t="shared" si="12"/>
        <v>-1.4680240451394046E-4</v>
      </c>
      <c r="O56" s="718"/>
      <c r="R56" s="719">
        <v>-0.01</v>
      </c>
      <c r="S56" s="304"/>
      <c r="T56" s="304"/>
      <c r="U56" s="304"/>
      <c r="V56" s="304"/>
      <c r="W56" s="304"/>
    </row>
    <row r="57" spans="1:23" s="285" customFormat="1" ht="14.4" thickBot="1">
      <c r="C57" s="316" t="s">
        <v>778</v>
      </c>
      <c r="D57" s="315"/>
      <c r="E57" s="314">
        <f t="shared" ref="E57:O57" si="13">ManualAdjProd1Seg3RenRate</f>
        <v>0</v>
      </c>
      <c r="F57" s="314">
        <f t="shared" si="13"/>
        <v>0</v>
      </c>
      <c r="G57" s="314">
        <f t="shared" si="13"/>
        <v>0</v>
      </c>
      <c r="H57" s="314">
        <f t="shared" si="13"/>
        <v>0</v>
      </c>
      <c r="I57" s="314">
        <f t="shared" si="13"/>
        <v>0</v>
      </c>
      <c r="J57" s="314">
        <f t="shared" si="13"/>
        <v>0</v>
      </c>
      <c r="K57" s="314">
        <f t="shared" si="13"/>
        <v>0</v>
      </c>
      <c r="L57" s="314">
        <f t="shared" si="13"/>
        <v>0</v>
      </c>
      <c r="M57" s="314">
        <f t="shared" si="13"/>
        <v>0</v>
      </c>
      <c r="N57" s="314">
        <f t="shared" si="13"/>
        <v>0</v>
      </c>
      <c r="O57" s="314">
        <f t="shared" si="13"/>
        <v>0</v>
      </c>
      <c r="P57" s="285" t="s">
        <v>3193</v>
      </c>
      <c r="R57" s="330" t="s">
        <v>784</v>
      </c>
      <c r="S57" s="329" t="s">
        <v>783</v>
      </c>
      <c r="T57" s="329" t="s">
        <v>782</v>
      </c>
      <c r="U57" s="329" t="s">
        <v>781</v>
      </c>
      <c r="V57" s="329" t="s">
        <v>780</v>
      </c>
      <c r="W57" s="328" t="s">
        <v>779</v>
      </c>
    </row>
    <row r="58" spans="1:23" s="309" customFormat="1" ht="2.1" customHeight="1">
      <c r="A58" s="327"/>
      <c r="B58" s="285"/>
      <c r="C58" s="313"/>
      <c r="D58" s="312"/>
      <c r="E58" s="312"/>
      <c r="F58" s="311"/>
      <c r="G58" s="311"/>
      <c r="H58" s="311"/>
      <c r="I58" s="311"/>
      <c r="J58" s="312"/>
      <c r="K58" s="311"/>
      <c r="L58" s="311"/>
      <c r="M58" s="311"/>
      <c r="N58" s="311"/>
      <c r="O58" s="311"/>
      <c r="R58" s="285"/>
      <c r="S58" s="285"/>
      <c r="T58" s="285"/>
      <c r="U58" s="285"/>
      <c r="V58" s="285"/>
      <c r="W58" s="285"/>
    </row>
    <row r="59" spans="1:23" s="285" customFormat="1" ht="14.4" thickBot="1">
      <c r="C59" s="308" t="s">
        <v>770</v>
      </c>
      <c r="D59" s="307"/>
      <c r="E59" s="306">
        <f t="shared" ref="E59:O59" si="14">IF(xxRound=0,E54,SUM(E54:E57))</f>
        <v>0.68994382259548614</v>
      </c>
      <c r="F59" s="306">
        <f t="shared" si="14"/>
        <v>0.68994382259548614</v>
      </c>
      <c r="G59" s="306">
        <f t="shared" si="14"/>
        <v>0.68994382259548614</v>
      </c>
      <c r="H59" s="306">
        <f t="shared" si="14"/>
        <v>0.68994382259548614</v>
      </c>
      <c r="I59" s="306">
        <f t="shared" si="14"/>
        <v>0.68994382259548614</v>
      </c>
      <c r="J59" s="306">
        <f t="shared" si="14"/>
        <v>0.68994382259548614</v>
      </c>
      <c r="K59" s="306">
        <f t="shared" si="14"/>
        <v>0.68994382259548614</v>
      </c>
      <c r="L59" s="306">
        <f t="shared" si="14"/>
        <v>0.68994382259548614</v>
      </c>
      <c r="M59" s="306">
        <f t="shared" si="14"/>
        <v>0.68994382259548614</v>
      </c>
      <c r="N59" s="306">
        <f t="shared" si="14"/>
        <v>0.68994382259548614</v>
      </c>
      <c r="O59" s="306">
        <f t="shared" ca="1" si="14"/>
        <v>0.51745786694661466</v>
      </c>
      <c r="P59" s="285" t="s">
        <v>3194</v>
      </c>
    </row>
    <row r="60" spans="1:23" s="285" customFormat="1">
      <c r="P60" s="302"/>
    </row>
    <row r="61" spans="1:23" s="293" customFormat="1">
      <c r="B61" s="295" t="str">
        <f>nmProd2Seg1&amp;" Renewed Subscription Inputs"</f>
        <v>Intelligent Cloud Enterprise Renewed Subscription Inputs</v>
      </c>
      <c r="E61" s="294"/>
      <c r="F61" s="294"/>
      <c r="G61" s="294"/>
      <c r="H61" s="294"/>
      <c r="I61" s="294"/>
      <c r="J61" s="294"/>
      <c r="K61" s="294"/>
      <c r="L61" s="294"/>
      <c r="M61" s="294"/>
      <c r="N61" s="294"/>
      <c r="O61" s="294"/>
    </row>
    <row r="62" spans="1:23" s="285" customFormat="1">
      <c r="B62" s="302" t="s">
        <v>795</v>
      </c>
      <c r="C62" s="302"/>
      <c r="D62" s="302"/>
      <c r="F62" s="302"/>
      <c r="G62" s="302"/>
      <c r="H62" s="302"/>
      <c r="K62" s="302"/>
      <c r="L62" s="302"/>
      <c r="M62" s="302"/>
      <c r="P62" s="302"/>
    </row>
    <row r="63" spans="1:23" s="285" customFormat="1">
      <c r="B63" s="302"/>
      <c r="C63" s="302"/>
      <c r="D63" s="302"/>
      <c r="F63" s="302"/>
      <c r="G63" s="302"/>
      <c r="H63" s="302"/>
      <c r="K63" s="302"/>
      <c r="L63" s="302"/>
      <c r="M63" s="302"/>
      <c r="P63" s="302"/>
    </row>
    <row r="64" spans="1:23" s="285" customFormat="1">
      <c r="C64" s="292"/>
      <c r="E64" s="298" t="s">
        <v>7</v>
      </c>
      <c r="F64" s="298" t="s">
        <v>8</v>
      </c>
      <c r="G64" s="298" t="s">
        <v>9</v>
      </c>
      <c r="H64" s="298" t="s">
        <v>10</v>
      </c>
      <c r="I64" s="298" t="s">
        <v>767</v>
      </c>
      <c r="J64" s="298" t="s">
        <v>744</v>
      </c>
      <c r="K64" s="298" t="s">
        <v>745</v>
      </c>
      <c r="L64" s="298" t="s">
        <v>746</v>
      </c>
      <c r="M64" s="298" t="s">
        <v>747</v>
      </c>
      <c r="N64" s="298" t="s">
        <v>748</v>
      </c>
      <c r="O64" s="298" t="s">
        <v>749</v>
      </c>
      <c r="P64" s="287"/>
    </row>
    <row r="65" spans="1:26" s="285" customFormat="1" ht="2.25" customHeight="1">
      <c r="C65" s="292"/>
      <c r="E65" s="298"/>
      <c r="F65" s="298"/>
      <c r="G65" s="298"/>
      <c r="H65" s="298"/>
      <c r="I65" s="298"/>
      <c r="J65" s="298"/>
      <c r="K65" s="298"/>
      <c r="L65" s="298"/>
      <c r="M65" s="298"/>
      <c r="N65" s="298"/>
      <c r="O65" s="298"/>
      <c r="P65" s="287"/>
    </row>
    <row r="66" spans="1:26" s="285" customFormat="1">
      <c r="C66" s="292" t="s">
        <v>769</v>
      </c>
      <c r="E66" s="326">
        <f t="shared" ref="E66:N66" si="15">obalProd2Seg1TotalSubs</f>
        <v>2329987.9477210129</v>
      </c>
      <c r="F66" s="326">
        <f t="shared" si="15"/>
        <v>2329987.9477210129</v>
      </c>
      <c r="G66" s="326">
        <f t="shared" si="15"/>
        <v>2329987.9477210129</v>
      </c>
      <c r="H66" s="326">
        <f t="shared" si="15"/>
        <v>2329987.9477210129</v>
      </c>
      <c r="I66" s="326">
        <f t="shared" si="15"/>
        <v>2329987.9477210129</v>
      </c>
      <c r="J66" s="326">
        <f t="shared" si="15"/>
        <v>2329987.9477210129</v>
      </c>
      <c r="K66" s="326">
        <f t="shared" si="15"/>
        <v>2329987.9477210129</v>
      </c>
      <c r="L66" s="326">
        <f t="shared" si="15"/>
        <v>2329987.9477210129</v>
      </c>
      <c r="M66" s="326">
        <f t="shared" si="15"/>
        <v>2329987.9477210129</v>
      </c>
      <c r="N66" s="326">
        <f t="shared" si="15"/>
        <v>2329987.9477210129</v>
      </c>
      <c r="O66" s="326">
        <f>mmCompetitorProd2Seg1TotalSubs</f>
        <v>1747491</v>
      </c>
      <c r="P66" s="297" t="s">
        <v>794</v>
      </c>
    </row>
    <row r="67" spans="1:26" s="285" customFormat="1">
      <c r="E67" s="302"/>
      <c r="J67" s="302"/>
    </row>
    <row r="68" spans="1:26" s="285" customFormat="1">
      <c r="C68" s="298" t="s">
        <v>793</v>
      </c>
    </row>
    <row r="69" spans="1:26" s="285" customFormat="1">
      <c r="C69" s="285" t="s">
        <v>788</v>
      </c>
      <c r="D69" s="325">
        <v>0.05</v>
      </c>
      <c r="E69" s="322" t="s">
        <v>792</v>
      </c>
      <c r="F69" s="322"/>
      <c r="J69" s="322" t="s">
        <v>792</v>
      </c>
      <c r="K69" s="322"/>
    </row>
    <row r="70" spans="1:26" s="285" customFormat="1">
      <c r="C70" s="285" t="s">
        <v>787</v>
      </c>
      <c r="D70" s="324">
        <f>SUM(R75,W75:W75)</f>
        <v>-0.01</v>
      </c>
      <c r="E70" s="322" t="s">
        <v>786</v>
      </c>
      <c r="F70" s="322"/>
      <c r="J70" s="322" t="s">
        <v>786</v>
      </c>
      <c r="K70" s="322"/>
      <c r="T70" s="323"/>
      <c r="U70" s="323"/>
      <c r="V70" s="323"/>
      <c r="W70" s="323"/>
    </row>
    <row r="71" spans="1:26" s="285" customFormat="1" ht="14.4" thickBot="1">
      <c r="E71" s="302"/>
      <c r="J71" s="302"/>
      <c r="S71" s="322"/>
      <c r="W71" s="321"/>
    </row>
    <row r="72" spans="1:26" s="285" customFormat="1">
      <c r="C72" s="320"/>
      <c r="D72" s="288"/>
      <c r="E72" s="298" t="s">
        <v>7</v>
      </c>
      <c r="F72" s="298" t="s">
        <v>8</v>
      </c>
      <c r="G72" s="298" t="s">
        <v>9</v>
      </c>
      <c r="H72" s="298" t="s">
        <v>10</v>
      </c>
      <c r="I72" s="298" t="s">
        <v>767</v>
      </c>
      <c r="J72" s="298" t="s">
        <v>744</v>
      </c>
      <c r="K72" s="298" t="s">
        <v>745</v>
      </c>
      <c r="L72" s="298" t="s">
        <v>746</v>
      </c>
      <c r="M72" s="298" t="s">
        <v>747</v>
      </c>
      <c r="N72" s="298" t="s">
        <v>748</v>
      </c>
      <c r="O72" s="298" t="s">
        <v>749</v>
      </c>
    </row>
    <row r="73" spans="1:26" s="285" customFormat="1" ht="14.4" thickBot="1">
      <c r="C73" s="316" t="s">
        <v>791</v>
      </c>
      <c r="D73" s="315"/>
      <c r="E73" s="319">
        <v>0.7</v>
      </c>
      <c r="F73" s="319">
        <v>0.7</v>
      </c>
      <c r="G73" s="319">
        <v>0.7</v>
      </c>
      <c r="H73" s="319">
        <v>0.7</v>
      </c>
      <c r="I73" s="319">
        <v>0.7</v>
      </c>
      <c r="J73" s="319">
        <v>0.7</v>
      </c>
      <c r="K73" s="319">
        <v>0.7</v>
      </c>
      <c r="L73" s="319">
        <v>0.7</v>
      </c>
      <c r="M73" s="319">
        <v>0.7</v>
      </c>
      <c r="N73" s="319">
        <v>0.7</v>
      </c>
      <c r="O73" s="319">
        <f ca="1">mmCompetitorProd2Seg1RenRate</f>
        <v>0.51745786694661466</v>
      </c>
      <c r="P73" s="302" t="s">
        <v>790</v>
      </c>
      <c r="R73" s="304" t="s">
        <v>789</v>
      </c>
      <c r="S73" s="304"/>
    </row>
    <row r="74" spans="1:26" s="285" customFormat="1" ht="14.4" thickBot="1">
      <c r="C74" s="318" t="s">
        <v>2665</v>
      </c>
      <c r="D74" s="331"/>
      <c r="E74" s="718">
        <f t="shared" ref="E74:N74" si="16">(cbalCPE-obalCPE)*$R74</f>
        <v>-9.9093749999999408E-3</v>
      </c>
      <c r="F74" s="709">
        <f t="shared" si="16"/>
        <v>-9.9093749999999408E-3</v>
      </c>
      <c r="G74" s="709">
        <f t="shared" si="16"/>
        <v>-9.9093749999999408E-3</v>
      </c>
      <c r="H74" s="709">
        <f t="shared" si="16"/>
        <v>-9.9093749999999408E-3</v>
      </c>
      <c r="I74" s="709">
        <f t="shared" si="16"/>
        <v>-9.9093749999999408E-3</v>
      </c>
      <c r="J74" s="718">
        <f t="shared" si="16"/>
        <v>-9.9093749999999408E-3</v>
      </c>
      <c r="K74" s="709">
        <f t="shared" si="16"/>
        <v>-9.9093749999999408E-3</v>
      </c>
      <c r="L74" s="709">
        <f t="shared" si="16"/>
        <v>-9.9093749999999408E-3</v>
      </c>
      <c r="M74" s="709">
        <f t="shared" si="16"/>
        <v>-9.9093749999999408E-3</v>
      </c>
      <c r="N74" s="709">
        <f t="shared" si="16"/>
        <v>-9.9093749999999408E-3</v>
      </c>
      <c r="O74" s="709"/>
      <c r="R74" s="332">
        <v>7.4999999999999997E-3</v>
      </c>
      <c r="S74" s="304"/>
      <c r="T74" s="304"/>
      <c r="U74" s="304"/>
      <c r="V74" s="304"/>
      <c r="W74" s="304"/>
    </row>
    <row r="75" spans="1:26" s="285" customFormat="1">
      <c r="C75" s="318" t="s">
        <v>925</v>
      </c>
      <c r="D75" s="331"/>
      <c r="E75" s="718">
        <f t="shared" ref="E75:N75" si="17">IF(obalOpsDataCenterUtilization&lt;=0.3,0,(obalOpsDataCenterUtilization-0.3)*$R75)</f>
        <v>-1.4680240451394046E-4</v>
      </c>
      <c r="F75" s="718">
        <f t="shared" si="17"/>
        <v>-1.4680240451394046E-4</v>
      </c>
      <c r="G75" s="718">
        <f t="shared" si="17"/>
        <v>-1.4680240451394046E-4</v>
      </c>
      <c r="H75" s="718">
        <f t="shared" si="17"/>
        <v>-1.4680240451394046E-4</v>
      </c>
      <c r="I75" s="718">
        <f t="shared" si="17"/>
        <v>-1.4680240451394046E-4</v>
      </c>
      <c r="J75" s="718">
        <f t="shared" si="17"/>
        <v>-1.4680240451394046E-4</v>
      </c>
      <c r="K75" s="718">
        <f t="shared" si="17"/>
        <v>-1.4680240451394046E-4</v>
      </c>
      <c r="L75" s="718">
        <f t="shared" si="17"/>
        <v>-1.4680240451394046E-4</v>
      </c>
      <c r="M75" s="718">
        <f t="shared" si="17"/>
        <v>-1.4680240451394046E-4</v>
      </c>
      <c r="N75" s="718">
        <f t="shared" si="17"/>
        <v>-1.4680240451394046E-4</v>
      </c>
      <c r="O75" s="718"/>
      <c r="R75" s="719">
        <v>-0.01</v>
      </c>
      <c r="S75" s="304"/>
      <c r="T75" s="304"/>
      <c r="U75" s="304"/>
      <c r="V75" s="304"/>
      <c r="W75" s="304"/>
    </row>
    <row r="76" spans="1:26" s="285" customFormat="1">
      <c r="C76" s="316" t="s">
        <v>778</v>
      </c>
      <c r="D76" s="315"/>
      <c r="E76" s="314">
        <f t="shared" ref="E76:O76" si="18">ManualAdjProd2Seg1RenRate</f>
        <v>0</v>
      </c>
      <c r="F76" s="314">
        <f t="shared" si="18"/>
        <v>0</v>
      </c>
      <c r="G76" s="314">
        <f t="shared" si="18"/>
        <v>0</v>
      </c>
      <c r="H76" s="314">
        <f t="shared" si="18"/>
        <v>0</v>
      </c>
      <c r="I76" s="314">
        <f t="shared" si="18"/>
        <v>0</v>
      </c>
      <c r="J76" s="314">
        <f t="shared" si="18"/>
        <v>0</v>
      </c>
      <c r="K76" s="314">
        <f t="shared" si="18"/>
        <v>0</v>
      </c>
      <c r="L76" s="314">
        <f t="shared" si="18"/>
        <v>0</v>
      </c>
      <c r="M76" s="314">
        <f t="shared" si="18"/>
        <v>0</v>
      </c>
      <c r="N76" s="314">
        <f t="shared" si="18"/>
        <v>0</v>
      </c>
      <c r="O76" s="314">
        <f t="shared" si="18"/>
        <v>0</v>
      </c>
      <c r="P76" s="285" t="s">
        <v>3195</v>
      </c>
    </row>
    <row r="77" spans="1:26" s="309" customFormat="1" ht="2.1" customHeight="1">
      <c r="A77" s="327"/>
      <c r="B77" s="285"/>
      <c r="C77" s="313"/>
      <c r="D77" s="312"/>
      <c r="E77" s="312"/>
      <c r="F77" s="311"/>
      <c r="G77" s="311"/>
      <c r="H77" s="311"/>
      <c r="I77" s="311"/>
      <c r="J77" s="312"/>
      <c r="K77" s="311"/>
      <c r="L77" s="311"/>
      <c r="M77" s="311"/>
      <c r="N77" s="311"/>
      <c r="O77" s="311"/>
      <c r="R77" s="285"/>
      <c r="S77" s="285"/>
      <c r="T77" s="285"/>
      <c r="U77" s="285"/>
      <c r="V77" s="285"/>
      <c r="W77" s="285"/>
      <c r="X77" s="285"/>
      <c r="Y77" s="285"/>
      <c r="Z77" s="285"/>
    </row>
    <row r="78" spans="1:26" s="285" customFormat="1" ht="14.4" thickBot="1">
      <c r="C78" s="308" t="s">
        <v>770</v>
      </c>
      <c r="D78" s="307"/>
      <c r="E78" s="306">
        <f t="shared" ref="E78:O78" si="19">IF(xxRound=0,E73,SUM(E73:E76))</f>
        <v>0.68994382259548614</v>
      </c>
      <c r="F78" s="306">
        <f t="shared" si="19"/>
        <v>0.68994382259548614</v>
      </c>
      <c r="G78" s="306">
        <f t="shared" si="19"/>
        <v>0.68994382259548614</v>
      </c>
      <c r="H78" s="306">
        <f t="shared" si="19"/>
        <v>0.68994382259548614</v>
      </c>
      <c r="I78" s="306">
        <f t="shared" si="19"/>
        <v>0.68994382259548614</v>
      </c>
      <c r="J78" s="306">
        <f t="shared" si="19"/>
        <v>0.68994382259548614</v>
      </c>
      <c r="K78" s="306">
        <f t="shared" si="19"/>
        <v>0.68994382259548614</v>
      </c>
      <c r="L78" s="306">
        <f t="shared" si="19"/>
        <v>0.68994382259548614</v>
      </c>
      <c r="M78" s="306">
        <f t="shared" si="19"/>
        <v>0.68994382259548614</v>
      </c>
      <c r="N78" s="306">
        <f t="shared" si="19"/>
        <v>0.68994382259548614</v>
      </c>
      <c r="O78" s="306">
        <f t="shared" ca="1" si="19"/>
        <v>0.51745786694661466</v>
      </c>
      <c r="P78" s="285" t="s">
        <v>3196</v>
      </c>
    </row>
    <row r="79" spans="1:26" s="285" customFormat="1">
      <c r="P79" s="302"/>
    </row>
    <row r="80" spans="1:26" s="293" customFormat="1">
      <c r="B80" s="295" t="str">
        <f>nmProd2Seg2&amp;" Renewed Subscription Inputs"</f>
        <v>Intelligent Cloud SMC Renewed Subscription Inputs</v>
      </c>
      <c r="E80" s="294"/>
      <c r="F80" s="294"/>
      <c r="G80" s="294"/>
      <c r="H80" s="294"/>
      <c r="I80" s="294"/>
      <c r="J80" s="294"/>
      <c r="K80" s="294"/>
      <c r="L80" s="294"/>
      <c r="M80" s="294"/>
      <c r="N80" s="294"/>
      <c r="O80" s="294"/>
    </row>
    <row r="82" spans="2:23" s="285" customFormat="1">
      <c r="B82" s="302" t="s">
        <v>795</v>
      </c>
      <c r="C82" s="302"/>
      <c r="D82" s="302"/>
      <c r="F82" s="302"/>
      <c r="G82" s="302"/>
      <c r="H82" s="302"/>
      <c r="K82" s="302"/>
      <c r="L82" s="302"/>
      <c r="M82" s="302"/>
      <c r="P82" s="302"/>
    </row>
    <row r="83" spans="2:23" s="285" customFormat="1">
      <c r="B83" s="302"/>
      <c r="C83" s="302"/>
      <c r="D83" s="302"/>
      <c r="F83" s="302"/>
      <c r="G83" s="302"/>
      <c r="H83" s="302"/>
      <c r="K83" s="302"/>
      <c r="L83" s="302"/>
      <c r="M83" s="302"/>
      <c r="P83" s="302"/>
    </row>
    <row r="84" spans="2:23" s="285" customFormat="1">
      <c r="C84" s="292"/>
      <c r="E84" s="298" t="s">
        <v>7</v>
      </c>
      <c r="F84" s="298" t="s">
        <v>8</v>
      </c>
      <c r="G84" s="298" t="s">
        <v>9</v>
      </c>
      <c r="H84" s="298" t="s">
        <v>10</v>
      </c>
      <c r="I84" s="298" t="s">
        <v>767</v>
      </c>
      <c r="J84" s="298" t="s">
        <v>744</v>
      </c>
      <c r="K84" s="298" t="s">
        <v>745</v>
      </c>
      <c r="L84" s="298" t="s">
        <v>746</v>
      </c>
      <c r="M84" s="298" t="s">
        <v>747</v>
      </c>
      <c r="N84" s="298" t="s">
        <v>748</v>
      </c>
      <c r="O84" s="298" t="s">
        <v>922</v>
      </c>
      <c r="P84" s="287"/>
    </row>
    <row r="85" spans="2:23" s="285" customFormat="1" ht="2.25" customHeight="1">
      <c r="C85" s="292"/>
      <c r="E85" s="298"/>
      <c r="F85" s="298"/>
      <c r="G85" s="298"/>
      <c r="H85" s="298"/>
      <c r="I85" s="298"/>
      <c r="J85" s="298"/>
      <c r="K85" s="298"/>
      <c r="L85" s="298"/>
      <c r="M85" s="298"/>
      <c r="N85" s="298"/>
      <c r="O85" s="298"/>
      <c r="P85" s="287"/>
    </row>
    <row r="86" spans="2:23" s="285" customFormat="1">
      <c r="C86" s="292" t="s">
        <v>769</v>
      </c>
      <c r="E86" s="326">
        <f t="shared" ref="E86:N86" si="20">obalProd2Seg2TotalSubs</f>
        <v>2542339.0472343266</v>
      </c>
      <c r="F86" s="326">
        <f t="shared" si="20"/>
        <v>2542339.0472343266</v>
      </c>
      <c r="G86" s="326">
        <f t="shared" si="20"/>
        <v>2542339.0472343266</v>
      </c>
      <c r="H86" s="326">
        <f t="shared" si="20"/>
        <v>2542339.0472343266</v>
      </c>
      <c r="I86" s="326">
        <f t="shared" si="20"/>
        <v>2542339.0472343266</v>
      </c>
      <c r="J86" s="326">
        <f t="shared" si="20"/>
        <v>2542339.0472343266</v>
      </c>
      <c r="K86" s="326">
        <f t="shared" si="20"/>
        <v>2542339.0472343266</v>
      </c>
      <c r="L86" s="326">
        <f t="shared" si="20"/>
        <v>2542339.0472343266</v>
      </c>
      <c r="M86" s="326">
        <f t="shared" si="20"/>
        <v>2542339.0472343266</v>
      </c>
      <c r="N86" s="326">
        <f t="shared" si="20"/>
        <v>2542339.0472343266</v>
      </c>
      <c r="O86" s="326">
        <f>mmCompetitorProd2Seg2TotalSubs</f>
        <v>1906754</v>
      </c>
      <c r="P86" s="297"/>
    </row>
    <row r="87" spans="2:23" s="285" customFormat="1">
      <c r="E87" s="302"/>
      <c r="J87" s="302"/>
    </row>
    <row r="88" spans="2:23" s="285" customFormat="1">
      <c r="C88" s="298" t="s">
        <v>793</v>
      </c>
    </row>
    <row r="89" spans="2:23" s="285" customFormat="1">
      <c r="C89" s="285" t="s">
        <v>788</v>
      </c>
      <c r="D89" s="325">
        <v>0.05</v>
      </c>
      <c r="E89" s="322" t="s">
        <v>792</v>
      </c>
      <c r="F89" s="322"/>
      <c r="J89" s="322" t="s">
        <v>792</v>
      </c>
      <c r="K89" s="322"/>
    </row>
    <row r="90" spans="2:23" s="285" customFormat="1">
      <c r="C90" s="285" t="s">
        <v>787</v>
      </c>
      <c r="D90" s="324">
        <f>SUM(R95,W95:W95)</f>
        <v>-0.01</v>
      </c>
      <c r="E90" s="322" t="s">
        <v>786</v>
      </c>
      <c r="F90" s="322"/>
      <c r="J90" s="322" t="s">
        <v>786</v>
      </c>
      <c r="K90" s="322"/>
      <c r="T90" s="323"/>
      <c r="U90" s="323"/>
      <c r="V90" s="323"/>
      <c r="W90" s="323"/>
    </row>
    <row r="91" spans="2:23" s="285" customFormat="1" ht="14.4" thickBot="1">
      <c r="E91" s="302"/>
      <c r="J91" s="302"/>
      <c r="S91" s="322"/>
      <c r="W91" s="321"/>
    </row>
    <row r="92" spans="2:23" s="285" customFormat="1">
      <c r="C92" s="320"/>
      <c r="D92" s="288"/>
      <c r="E92" s="298" t="s">
        <v>7</v>
      </c>
      <c r="F92" s="298" t="s">
        <v>8</v>
      </c>
      <c r="G92" s="298" t="s">
        <v>9</v>
      </c>
      <c r="H92" s="298" t="s">
        <v>10</v>
      </c>
      <c r="I92" s="298" t="s">
        <v>767</v>
      </c>
      <c r="J92" s="298" t="s">
        <v>744</v>
      </c>
      <c r="K92" s="298" t="s">
        <v>745</v>
      </c>
      <c r="L92" s="298" t="s">
        <v>746</v>
      </c>
      <c r="M92" s="298" t="s">
        <v>747</v>
      </c>
      <c r="N92" s="298" t="s">
        <v>748</v>
      </c>
      <c r="O92" s="298" t="s">
        <v>749</v>
      </c>
    </row>
    <row r="93" spans="2:23" s="285" customFormat="1" ht="14.4" thickBot="1">
      <c r="C93" s="316" t="s">
        <v>791</v>
      </c>
      <c r="D93" s="315"/>
      <c r="E93" s="319">
        <v>0.7</v>
      </c>
      <c r="F93" s="319">
        <v>0.7</v>
      </c>
      <c r="G93" s="319">
        <v>0.7</v>
      </c>
      <c r="H93" s="319">
        <v>0.7</v>
      </c>
      <c r="I93" s="319">
        <v>0.7</v>
      </c>
      <c r="J93" s="319">
        <v>0.7</v>
      </c>
      <c r="K93" s="319">
        <v>0.7</v>
      </c>
      <c r="L93" s="319">
        <v>0.7</v>
      </c>
      <c r="M93" s="319">
        <v>0.7</v>
      </c>
      <c r="N93" s="319">
        <v>0.7</v>
      </c>
      <c r="O93" s="319">
        <f ca="1">mmCompetitorProd2Seg2RenRate</f>
        <v>0.51745786694661466</v>
      </c>
      <c r="P93" s="302"/>
      <c r="R93" s="304" t="s">
        <v>789</v>
      </c>
      <c r="S93" s="304"/>
    </row>
    <row r="94" spans="2:23" s="285" customFormat="1" ht="14.4" thickBot="1">
      <c r="C94" s="318" t="s">
        <v>2665</v>
      </c>
      <c r="D94" s="331"/>
      <c r="E94" s="718">
        <f t="shared" ref="E94:N94" si="21">(cbalCPE-obalCPE)*$R94</f>
        <v>-9.9093749999999408E-3</v>
      </c>
      <c r="F94" s="709">
        <f t="shared" si="21"/>
        <v>-9.9093749999999408E-3</v>
      </c>
      <c r="G94" s="709">
        <f t="shared" si="21"/>
        <v>-9.9093749999999408E-3</v>
      </c>
      <c r="H94" s="709">
        <f t="shared" si="21"/>
        <v>-9.9093749999999408E-3</v>
      </c>
      <c r="I94" s="709">
        <f t="shared" si="21"/>
        <v>-9.9093749999999408E-3</v>
      </c>
      <c r="J94" s="718">
        <f t="shared" si="21"/>
        <v>-9.9093749999999408E-3</v>
      </c>
      <c r="K94" s="709">
        <f t="shared" si="21"/>
        <v>-9.9093749999999408E-3</v>
      </c>
      <c r="L94" s="709">
        <f t="shared" si="21"/>
        <v>-9.9093749999999408E-3</v>
      </c>
      <c r="M94" s="709">
        <f t="shared" si="21"/>
        <v>-9.9093749999999408E-3</v>
      </c>
      <c r="N94" s="709">
        <f t="shared" si="21"/>
        <v>-9.9093749999999408E-3</v>
      </c>
      <c r="O94" s="709"/>
      <c r="R94" s="332">
        <v>7.4999999999999997E-3</v>
      </c>
      <c r="S94" s="304"/>
      <c r="T94" s="304"/>
      <c r="U94" s="304"/>
      <c r="V94" s="304"/>
      <c r="W94" s="304"/>
    </row>
    <row r="95" spans="2:23" s="285" customFormat="1">
      <c r="C95" s="318" t="s">
        <v>925</v>
      </c>
      <c r="D95" s="331"/>
      <c r="E95" s="718">
        <f t="shared" ref="E95:N95" si="22">IF(obalOpsDataCenterUtilization&lt;=0.3,0,(obalOpsDataCenterUtilization-0.3)*$R95)</f>
        <v>-1.4680240451394046E-4</v>
      </c>
      <c r="F95" s="718">
        <f t="shared" si="22"/>
        <v>-1.4680240451394046E-4</v>
      </c>
      <c r="G95" s="718">
        <f t="shared" si="22"/>
        <v>-1.4680240451394046E-4</v>
      </c>
      <c r="H95" s="718">
        <f t="shared" si="22"/>
        <v>-1.4680240451394046E-4</v>
      </c>
      <c r="I95" s="718">
        <f t="shared" si="22"/>
        <v>-1.4680240451394046E-4</v>
      </c>
      <c r="J95" s="718">
        <f t="shared" si="22"/>
        <v>-1.4680240451394046E-4</v>
      </c>
      <c r="K95" s="718">
        <f t="shared" si="22"/>
        <v>-1.4680240451394046E-4</v>
      </c>
      <c r="L95" s="718">
        <f t="shared" si="22"/>
        <v>-1.4680240451394046E-4</v>
      </c>
      <c r="M95" s="718">
        <f t="shared" si="22"/>
        <v>-1.4680240451394046E-4</v>
      </c>
      <c r="N95" s="718">
        <f t="shared" si="22"/>
        <v>-1.4680240451394046E-4</v>
      </c>
      <c r="O95" s="718"/>
      <c r="R95" s="719">
        <v>-0.01</v>
      </c>
      <c r="S95" s="304"/>
      <c r="T95" s="304"/>
      <c r="U95" s="304"/>
      <c r="V95" s="304"/>
      <c r="W95" s="304"/>
    </row>
    <row r="96" spans="2:23" s="285" customFormat="1" ht="14.4" thickBot="1">
      <c r="C96" s="316" t="s">
        <v>778</v>
      </c>
      <c r="D96" s="315"/>
      <c r="E96" s="305">
        <f t="shared" ref="E96:O96" si="23">ManualAdjProd2Seg2RenRate</f>
        <v>0</v>
      </c>
      <c r="F96" s="305">
        <f t="shared" si="23"/>
        <v>0</v>
      </c>
      <c r="G96" s="305">
        <f t="shared" si="23"/>
        <v>0</v>
      </c>
      <c r="H96" s="305">
        <f t="shared" si="23"/>
        <v>0</v>
      </c>
      <c r="I96" s="305">
        <f t="shared" si="23"/>
        <v>0</v>
      </c>
      <c r="J96" s="305">
        <f t="shared" si="23"/>
        <v>0</v>
      </c>
      <c r="K96" s="305">
        <f t="shared" si="23"/>
        <v>0</v>
      </c>
      <c r="L96" s="305">
        <f t="shared" si="23"/>
        <v>0</v>
      </c>
      <c r="M96" s="305">
        <f t="shared" si="23"/>
        <v>0</v>
      </c>
      <c r="N96" s="305">
        <f t="shared" si="23"/>
        <v>0</v>
      </c>
      <c r="O96" s="305">
        <f t="shared" si="23"/>
        <v>0</v>
      </c>
      <c r="P96" s="285" t="s">
        <v>3197</v>
      </c>
      <c r="R96" s="330" t="s">
        <v>784</v>
      </c>
      <c r="S96" s="329" t="s">
        <v>783</v>
      </c>
      <c r="T96" s="329" t="s">
        <v>782</v>
      </c>
      <c r="U96" s="329" t="s">
        <v>781</v>
      </c>
      <c r="V96" s="329" t="s">
        <v>780</v>
      </c>
      <c r="W96" s="328" t="s">
        <v>779</v>
      </c>
    </row>
    <row r="97" spans="1:23" s="309" customFormat="1" ht="2.1" customHeight="1">
      <c r="A97" s="327"/>
      <c r="B97" s="285"/>
      <c r="C97" s="313"/>
      <c r="D97" s="312"/>
      <c r="E97" s="312"/>
      <c r="F97" s="311"/>
      <c r="G97" s="311"/>
      <c r="H97" s="311"/>
      <c r="I97" s="311"/>
      <c r="J97" s="312"/>
      <c r="K97" s="311"/>
      <c r="L97" s="311"/>
      <c r="M97" s="311"/>
      <c r="N97" s="311"/>
      <c r="O97" s="311"/>
      <c r="R97" s="285"/>
      <c r="S97" s="285"/>
      <c r="T97" s="285"/>
      <c r="U97" s="285"/>
      <c r="V97" s="285"/>
      <c r="W97" s="285"/>
    </row>
    <row r="98" spans="1:23" s="285" customFormat="1" ht="14.4" thickBot="1">
      <c r="C98" s="308" t="s">
        <v>770</v>
      </c>
      <c r="D98" s="307"/>
      <c r="E98" s="306">
        <f t="shared" ref="E98:O98" si="24">IF(xxRound=0,E93,SUM(E93:E96))</f>
        <v>0.68994382259548614</v>
      </c>
      <c r="F98" s="306">
        <f t="shared" si="24"/>
        <v>0.68994382259548614</v>
      </c>
      <c r="G98" s="306">
        <f t="shared" si="24"/>
        <v>0.68994382259548614</v>
      </c>
      <c r="H98" s="306">
        <f t="shared" si="24"/>
        <v>0.68994382259548614</v>
      </c>
      <c r="I98" s="306">
        <f t="shared" si="24"/>
        <v>0.68994382259548614</v>
      </c>
      <c r="J98" s="306">
        <f t="shared" si="24"/>
        <v>0.68994382259548614</v>
      </c>
      <c r="K98" s="306">
        <f t="shared" si="24"/>
        <v>0.68994382259548614</v>
      </c>
      <c r="L98" s="306">
        <f t="shared" si="24"/>
        <v>0.68994382259548614</v>
      </c>
      <c r="M98" s="306">
        <f t="shared" si="24"/>
        <v>0.68994382259548614</v>
      </c>
      <c r="N98" s="306">
        <f t="shared" si="24"/>
        <v>0.68994382259548614</v>
      </c>
      <c r="O98" s="306">
        <f t="shared" ca="1" si="24"/>
        <v>0.51745786694661466</v>
      </c>
      <c r="P98" s="285" t="s">
        <v>3198</v>
      </c>
    </row>
    <row r="99" spans="1:23" s="285" customFormat="1">
      <c r="P99" s="302"/>
    </row>
    <row r="100" spans="1:23" s="285" customFormat="1">
      <c r="E100" s="302"/>
      <c r="J100" s="302"/>
    </row>
    <row r="120" spans="1:22" s="285" customFormat="1">
      <c r="A120" s="286"/>
      <c r="B120" s="303" t="s">
        <v>775</v>
      </c>
      <c r="C120" s="286"/>
      <c r="D120" s="302" t="s">
        <v>774</v>
      </c>
      <c r="E120" s="287"/>
      <c r="F120" s="287"/>
      <c r="G120" s="287"/>
      <c r="H120" s="287"/>
      <c r="I120" s="287"/>
      <c r="J120" s="287"/>
      <c r="K120" s="287"/>
      <c r="L120" s="287"/>
      <c r="M120" s="287"/>
      <c r="N120" s="287"/>
      <c r="O120" s="287"/>
      <c r="P120" s="287"/>
      <c r="Q120" s="287"/>
      <c r="R120" s="287"/>
      <c r="S120" s="287"/>
      <c r="T120" s="287"/>
      <c r="U120" s="286"/>
      <c r="V120" s="286"/>
    </row>
    <row r="121" spans="1:22" s="285" customFormat="1">
      <c r="A121" s="286"/>
      <c r="B121" s="286"/>
      <c r="C121" s="286"/>
      <c r="D121" s="303" t="s">
        <v>773</v>
      </c>
      <c r="E121" s="287"/>
      <c r="F121" s="287"/>
      <c r="G121" s="287"/>
      <c r="H121" s="287"/>
      <c r="I121" s="287"/>
      <c r="J121" s="287"/>
      <c r="K121" s="287"/>
      <c r="L121" s="287"/>
      <c r="M121" s="287"/>
      <c r="N121" s="287"/>
      <c r="O121" s="287"/>
      <c r="P121" s="287"/>
      <c r="Q121" s="287"/>
      <c r="R121" s="287"/>
      <c r="S121" s="287"/>
      <c r="T121" s="287"/>
      <c r="U121" s="286"/>
      <c r="V121" s="286"/>
    </row>
    <row r="122" spans="1:22" s="285" customFormat="1"/>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2"/>
  </sheetPr>
  <dimension ref="A1:M54"/>
  <sheetViews>
    <sheetView workbookViewId="0"/>
  </sheetViews>
  <sheetFormatPr defaultColWidth="15.26953125" defaultRowHeight="12.75" customHeight="1"/>
  <cols>
    <col min="1" max="2" width="2.36328125" style="372" customWidth="1"/>
    <col min="3" max="3" width="2.7265625" style="372" customWidth="1"/>
    <col min="4" max="4" width="26" style="372" customWidth="1"/>
    <col min="5" max="5" width="14.81640625" style="372" customWidth="1"/>
    <col min="6" max="6" width="20.453125" style="372" customWidth="1"/>
    <col min="7" max="7" width="7.453125" style="372" customWidth="1"/>
    <col min="8" max="8" width="15.26953125" style="943"/>
    <col min="9" max="16384" width="15.26953125" style="372"/>
  </cols>
  <sheetData>
    <row r="1" spans="1:13" s="874" customFormat="1" ht="16.2">
      <c r="A1" s="873" t="s">
        <v>1686</v>
      </c>
      <c r="B1" s="873"/>
      <c r="E1" s="874" t="s">
        <v>7</v>
      </c>
      <c r="G1" s="875"/>
      <c r="H1" s="875"/>
      <c r="I1" s="875"/>
      <c r="J1" s="875"/>
      <c r="L1" s="873"/>
    </row>
    <row r="2" spans="1:13" s="874" customFormat="1" ht="16.2">
      <c r="A2" s="876" t="s">
        <v>2630</v>
      </c>
      <c r="B2" s="873"/>
      <c r="E2" s="874" t="b">
        <f>xxNumOfTeams&gt;0</f>
        <v>1</v>
      </c>
      <c r="F2" s="873" t="s">
        <v>2640</v>
      </c>
      <c r="G2" s="875"/>
      <c r="H2" s="875"/>
      <c r="I2" s="875"/>
      <c r="J2" s="875"/>
      <c r="L2" s="873"/>
    </row>
    <row r="3" spans="1:13" s="673" customFormat="1" ht="13.8">
      <c r="A3" s="395" t="s">
        <v>1665</v>
      </c>
      <c r="E3" s="674"/>
      <c r="H3" s="395"/>
    </row>
    <row r="4" spans="1:13" s="676" customFormat="1" ht="13.8">
      <c r="B4" s="581" t="s">
        <v>117</v>
      </c>
      <c r="C4" s="677"/>
      <c r="D4" s="677"/>
      <c r="E4" s="678"/>
      <c r="H4" s="580"/>
    </row>
    <row r="5" spans="1:13" s="284" customFormat="1" ht="13.8">
      <c r="A5" s="372"/>
      <c r="E5" s="366"/>
      <c r="H5" s="911"/>
      <c r="I5" s="680"/>
      <c r="M5" s="683"/>
    </row>
    <row r="6" spans="1:13" s="284" customFormat="1" ht="13.8">
      <c r="A6" s="372"/>
      <c r="C6" s="684"/>
      <c r="D6" s="684"/>
      <c r="E6" s="690" t="s">
        <v>7</v>
      </c>
      <c r="H6" s="911"/>
    </row>
    <row r="7" spans="1:13" s="284" customFormat="1" ht="13.8">
      <c r="A7" s="372"/>
      <c r="D7" s="716" t="s">
        <v>1709</v>
      </c>
      <c r="E7" s="713">
        <f t="shared" ref="E7" si="0">obalCustSuccessRev</f>
        <v>100.785</v>
      </c>
      <c r="F7" s="366"/>
      <c r="H7" s="911" t="s">
        <v>784</v>
      </c>
      <c r="I7" s="284" t="s">
        <v>783</v>
      </c>
      <c r="J7" s="284" t="s">
        <v>782</v>
      </c>
      <c r="K7" s="284" t="s">
        <v>781</v>
      </c>
      <c r="L7" s="284" t="s">
        <v>780</v>
      </c>
      <c r="M7" s="284" t="s">
        <v>779</v>
      </c>
    </row>
    <row r="8" spans="1:13" s="284" customFormat="1" ht="13.8">
      <c r="A8" s="372"/>
      <c r="D8" s="707" t="str">
        <f>nmProd1Offering2</f>
        <v>Dynamo 365</v>
      </c>
      <c r="E8" s="737">
        <f t="shared" ref="E8" si="1">INDEX($H8:$M8,decEGProd1Offering2+1)</f>
        <v>-1.125</v>
      </c>
      <c r="H8" s="1150">
        <v>-1.125</v>
      </c>
      <c r="I8" s="1151">
        <v>-0.5625</v>
      </c>
      <c r="J8" s="1151">
        <v>0</v>
      </c>
      <c r="K8" s="1151">
        <v>0.5625</v>
      </c>
      <c r="L8" s="1151">
        <v>1.125</v>
      </c>
      <c r="M8" s="1151">
        <v>1.6875</v>
      </c>
    </row>
    <row r="9" spans="1:13" s="284" customFormat="1" ht="13.8">
      <c r="A9" s="372"/>
      <c r="D9" s="708" t="s">
        <v>1665</v>
      </c>
      <c r="E9" s="737">
        <f t="shared" ref="E9" si="2">ROUND((cbalAvgConsumption-obalAvgConsumption)*10*$H9,2)</f>
        <v>-1.23</v>
      </c>
      <c r="H9" s="1150">
        <v>3</v>
      </c>
      <c r="I9" s="1152"/>
      <c r="J9" s="1152"/>
      <c r="K9" s="1152"/>
      <c r="L9" s="1152"/>
      <c r="M9" s="1152"/>
    </row>
    <row r="10" spans="1:13" s="284" customFormat="1" ht="13.8">
      <c r="A10" s="372"/>
      <c r="D10" s="708" t="s">
        <v>986</v>
      </c>
      <c r="E10" s="737">
        <f t="shared" ref="E10" si="3">paramChallengeCustSuccessRev</f>
        <v>0</v>
      </c>
      <c r="H10" s="1152"/>
      <c r="I10" s="1152"/>
      <c r="J10" s="1152"/>
      <c r="K10" s="1152"/>
      <c r="L10" s="1152"/>
      <c r="M10" s="1152"/>
    </row>
    <row r="11" spans="1:13" s="689" customFormat="1" ht="2.1" customHeight="1">
      <c r="A11" s="372"/>
      <c r="B11" s="284"/>
      <c r="D11" s="688"/>
      <c r="E11" s="688"/>
      <c r="H11" s="1153"/>
      <c r="I11" s="1152"/>
      <c r="J11" s="1152"/>
      <c r="K11" s="1152"/>
      <c r="L11" s="1152"/>
      <c r="M11" s="1152"/>
    </row>
    <row r="12" spans="1:13" s="284" customFormat="1" ht="13.8">
      <c r="A12" s="372"/>
      <c r="D12" s="694" t="s">
        <v>1706</v>
      </c>
      <c r="E12" s="714">
        <f>SUM(E7:E10)</f>
        <v>98.429999999999993</v>
      </c>
      <c r="F12" s="715" t="s">
        <v>1705</v>
      </c>
      <c r="H12" s="1153"/>
      <c r="I12" s="1152"/>
      <c r="J12" s="1152"/>
      <c r="K12" s="1152"/>
      <c r="L12" s="1152"/>
      <c r="M12" s="1152"/>
    </row>
    <row r="13" spans="1:13" ht="12.75" customHeight="1">
      <c r="H13" s="1154"/>
      <c r="I13" s="1155"/>
      <c r="J13" s="1155"/>
      <c r="K13" s="1155"/>
      <c r="L13" s="1155"/>
      <c r="M13" s="1155"/>
    </row>
    <row r="14" spans="1:13" s="676" customFormat="1" ht="13.8">
      <c r="B14" s="581" t="s">
        <v>1707</v>
      </c>
      <c r="C14" s="677"/>
      <c r="D14" s="677"/>
      <c r="E14" s="678"/>
      <c r="H14" s="1156"/>
      <c r="I14" s="1157"/>
      <c r="J14" s="1157"/>
      <c r="K14" s="1157"/>
      <c r="L14" s="1157"/>
      <c r="M14" s="1157"/>
    </row>
    <row r="15" spans="1:13" s="284" customFormat="1" ht="13.8">
      <c r="A15" s="372"/>
      <c r="E15" s="366"/>
      <c r="H15" s="1153">
        <v>0</v>
      </c>
      <c r="I15" s="1158"/>
      <c r="J15" s="1152"/>
      <c r="K15" s="1152"/>
      <c r="L15" s="1152"/>
      <c r="M15" s="1159"/>
    </row>
    <row r="16" spans="1:13" s="284" customFormat="1" ht="13.8">
      <c r="A16" s="372"/>
      <c r="C16" s="684"/>
      <c r="D16" s="684"/>
      <c r="E16" s="690" t="s">
        <v>7</v>
      </c>
      <c r="H16" s="1153">
        <v>3</v>
      </c>
      <c r="I16" s="1152"/>
      <c r="J16" s="1152"/>
      <c r="K16" s="1152"/>
      <c r="L16" s="1152"/>
      <c r="M16" s="1152"/>
    </row>
    <row r="17" spans="1:13" s="284" customFormat="1" ht="13.8">
      <c r="A17" s="372"/>
      <c r="D17" s="716" t="s">
        <v>1710</v>
      </c>
      <c r="E17" s="713">
        <f t="shared" ref="E17" si="4">obalCustSuccessOpMargin</f>
        <v>97.41</v>
      </c>
      <c r="F17" s="366"/>
      <c r="H17" s="1160" t="s">
        <v>784</v>
      </c>
      <c r="I17" s="1152" t="s">
        <v>783</v>
      </c>
      <c r="J17" s="1152" t="s">
        <v>782</v>
      </c>
      <c r="K17" s="1152" t="s">
        <v>781</v>
      </c>
      <c r="L17" s="1152" t="s">
        <v>780</v>
      </c>
      <c r="M17" s="1152" t="s">
        <v>779</v>
      </c>
    </row>
    <row r="18" spans="1:13" s="284" customFormat="1" ht="13.8">
      <c r="A18" s="372"/>
      <c r="D18" s="707" t="str">
        <f>nmProd1Offering1</f>
        <v>Workspace 365</v>
      </c>
      <c r="E18" s="737">
        <f t="shared" ref="E18" si="5">INDEX($H18:$M18,decEGProd1Offering2+1)</f>
        <v>-1.125</v>
      </c>
      <c r="H18" s="1150">
        <v>-1.125</v>
      </c>
      <c r="I18" s="1151">
        <v>-0.5625</v>
      </c>
      <c r="J18" s="1151">
        <v>0</v>
      </c>
      <c r="K18" s="1151">
        <v>0.5625</v>
      </c>
      <c r="L18" s="1151">
        <v>1.125</v>
      </c>
      <c r="M18" s="1151">
        <v>1.6875</v>
      </c>
    </row>
    <row r="19" spans="1:13" s="284" customFormat="1" ht="13.8">
      <c r="A19" s="372"/>
      <c r="D19" s="707" t="str">
        <f>nmProd3Offering1</f>
        <v>Doors OS</v>
      </c>
      <c r="E19" s="737">
        <f t="shared" ref="E19" si="6">INDEX($H19:$M19,decEGProd3Offering1+1)</f>
        <v>-1.125</v>
      </c>
      <c r="H19" s="1150">
        <v>-1.125</v>
      </c>
      <c r="I19" s="1151">
        <v>-0.5625</v>
      </c>
      <c r="J19" s="1151">
        <v>0</v>
      </c>
      <c r="K19" s="1151">
        <v>0.5625</v>
      </c>
      <c r="L19" s="1151">
        <v>1.125</v>
      </c>
      <c r="M19" s="1151">
        <v>1.6875</v>
      </c>
    </row>
    <row r="20" spans="1:13" s="284" customFormat="1" ht="13.8">
      <c r="A20" s="372"/>
      <c r="D20" s="708" t="str">
        <f>nmProd2Offering1</f>
        <v>Azul Infrastructure</v>
      </c>
      <c r="E20" s="737">
        <f t="shared" ref="E20" si="7">INDEX($H20:$M20,decEGProd2Offering1+1)</f>
        <v>-2.25</v>
      </c>
      <c r="H20" s="1150">
        <v>-2.25</v>
      </c>
      <c r="I20" s="1151">
        <v>-1.125</v>
      </c>
      <c r="J20" s="1151">
        <v>0</v>
      </c>
      <c r="K20" s="1151">
        <v>1.125</v>
      </c>
      <c r="L20" s="1151">
        <v>2.25</v>
      </c>
      <c r="M20" s="1151">
        <v>3.375</v>
      </c>
    </row>
    <row r="21" spans="1:13" s="284" customFormat="1" ht="13.8">
      <c r="A21" s="372"/>
      <c r="D21" s="708" t="s">
        <v>1665</v>
      </c>
      <c r="E21" s="737">
        <f t="shared" ref="E21" si="8">ROUND((cbalAvgConsumption-obalAvgConsumption)*10*$H21,2)</f>
        <v>-1.23</v>
      </c>
      <c r="H21" s="1150">
        <v>3</v>
      </c>
      <c r="I21" s="1152"/>
      <c r="J21" s="1152"/>
      <c r="K21" s="1152"/>
      <c r="L21" s="1152"/>
      <c r="M21" s="1152"/>
    </row>
    <row r="22" spans="1:13" s="284" customFormat="1" ht="13.8">
      <c r="A22" s="372"/>
      <c r="D22" s="708" t="s">
        <v>986</v>
      </c>
      <c r="E22" s="737">
        <f t="shared" ref="E22" si="9">paramChallengeCustSuccessOpMargin</f>
        <v>0</v>
      </c>
      <c r="H22" s="1152"/>
      <c r="I22" s="1152"/>
      <c r="J22" s="1152"/>
      <c r="K22" s="1152"/>
      <c r="L22" s="1152"/>
      <c r="M22" s="1152"/>
    </row>
    <row r="23" spans="1:13" s="689" customFormat="1" ht="2.1" customHeight="1">
      <c r="A23" s="372"/>
      <c r="B23" s="284"/>
      <c r="D23" s="688"/>
      <c r="E23" s="688"/>
      <c r="H23" s="1153"/>
      <c r="I23" s="1152"/>
      <c r="J23" s="1152"/>
      <c r="K23" s="1152"/>
      <c r="L23" s="1152"/>
      <c r="M23" s="1152"/>
    </row>
    <row r="24" spans="1:13" s="284" customFormat="1" ht="13.8">
      <c r="A24" s="372"/>
      <c r="D24" s="694" t="s">
        <v>1708</v>
      </c>
      <c r="E24" s="714">
        <f>SUM(E17:E23)</f>
        <v>91.679999999999993</v>
      </c>
      <c r="F24" s="715" t="s">
        <v>1711</v>
      </c>
      <c r="H24" s="1153"/>
      <c r="I24" s="1152"/>
      <c r="J24" s="1152"/>
      <c r="K24" s="1152"/>
      <c r="L24" s="1152"/>
      <c r="M24" s="1152"/>
    </row>
    <row r="25" spans="1:13" ht="12.75" customHeight="1">
      <c r="H25" s="1154"/>
      <c r="I25" s="1155"/>
      <c r="J25" s="1155"/>
      <c r="K25" s="1155"/>
      <c r="L25" s="1155"/>
      <c r="M25" s="1155"/>
    </row>
    <row r="26" spans="1:13" s="676" customFormat="1" ht="13.8">
      <c r="B26" s="581" t="s">
        <v>974</v>
      </c>
      <c r="C26" s="677"/>
      <c r="D26" s="677"/>
      <c r="E26" s="678"/>
      <c r="H26" s="1156"/>
      <c r="I26" s="1157"/>
      <c r="J26" s="1157"/>
      <c r="K26" s="1157"/>
      <c r="L26" s="1157"/>
      <c r="M26" s="1157"/>
    </row>
    <row r="27" spans="1:13" s="284" customFormat="1" ht="13.8">
      <c r="A27" s="372"/>
      <c r="E27" s="366"/>
      <c r="H27" s="1153"/>
      <c r="I27" s="1158"/>
      <c r="J27" s="1152"/>
      <c r="K27" s="1152"/>
      <c r="L27" s="1152"/>
      <c r="M27" s="1159"/>
    </row>
    <row r="28" spans="1:13" s="284" customFormat="1" ht="13.8">
      <c r="A28" s="372"/>
      <c r="C28" s="684"/>
      <c r="D28" s="684"/>
      <c r="E28" s="690" t="s">
        <v>7</v>
      </c>
      <c r="H28" s="1153"/>
      <c r="I28" s="1152"/>
      <c r="J28" s="1152"/>
      <c r="K28" s="1152"/>
      <c r="L28" s="1152"/>
      <c r="M28" s="1152"/>
    </row>
    <row r="29" spans="1:13" s="284" customFormat="1" ht="13.8">
      <c r="A29" s="372"/>
      <c r="D29" s="716" t="s">
        <v>1713</v>
      </c>
      <c r="E29" s="713">
        <f t="shared" ref="E29" si="10">obalCustSuccessCSAT</f>
        <v>98.534999999999997</v>
      </c>
      <c r="F29" s="366"/>
      <c r="H29" s="1160" t="s">
        <v>784</v>
      </c>
      <c r="I29" s="1152" t="s">
        <v>783</v>
      </c>
      <c r="J29" s="1152" t="s">
        <v>782</v>
      </c>
      <c r="K29" s="1152" t="s">
        <v>781</v>
      </c>
      <c r="L29" s="1152" t="s">
        <v>780</v>
      </c>
      <c r="M29" s="1152" t="s">
        <v>779</v>
      </c>
    </row>
    <row r="30" spans="1:13" s="284" customFormat="1" ht="13.8">
      <c r="A30" s="372"/>
      <c r="D30" s="707" t="str">
        <f>nmProd2Offering2</f>
        <v>Azul Data, Applications, and AI</v>
      </c>
      <c r="E30" s="737">
        <f t="shared" ref="E30" si="11">INDEX($H30:$M30,decEGProd2Offering2+1)</f>
        <v>-1.125</v>
      </c>
      <c r="H30" s="1150">
        <v>-1.125</v>
      </c>
      <c r="I30" s="1151">
        <v>-0.5625</v>
      </c>
      <c r="J30" s="1151">
        <v>0</v>
      </c>
      <c r="K30" s="1151">
        <v>0.5625</v>
      </c>
      <c r="L30" s="1151">
        <v>1.125</v>
      </c>
      <c r="M30" s="1151">
        <v>1.6875</v>
      </c>
    </row>
    <row r="31" spans="1:13" s="284" customFormat="1" ht="13.8">
      <c r="A31" s="372"/>
      <c r="D31" s="707" t="str">
        <f>nmProd1Offering2</f>
        <v>Dynamo 365</v>
      </c>
      <c r="E31" s="737">
        <f t="shared" ref="E31" si="12">INDEX($H31:$M31,decEGProd1Offering2+1)</f>
        <v>-2.25</v>
      </c>
      <c r="H31" s="1150">
        <v>-2.25</v>
      </c>
      <c r="I31" s="1151">
        <v>-1.125</v>
      </c>
      <c r="J31" s="1151">
        <v>0</v>
      </c>
      <c r="K31" s="1151">
        <v>1.125</v>
      </c>
      <c r="L31" s="1151">
        <v>2.25</v>
      </c>
      <c r="M31" s="1151">
        <v>3.375</v>
      </c>
    </row>
    <row r="32" spans="1:13" s="284" customFormat="1" ht="13.8">
      <c r="A32" s="372"/>
      <c r="D32" s="708" t="s">
        <v>1665</v>
      </c>
      <c r="E32" s="737">
        <f t="shared" ref="E32" si="13">ROUND((cbalAvgConsumption-obalAvgConsumption)*10*$H32,2)</f>
        <v>-1.23</v>
      </c>
      <c r="H32" s="1150">
        <v>3</v>
      </c>
      <c r="I32" s="1152"/>
      <c r="J32" s="1152"/>
      <c r="K32" s="1152"/>
      <c r="L32" s="1152"/>
      <c r="M32" s="1152"/>
    </row>
    <row r="33" spans="1:13" s="284" customFormat="1" ht="13.8">
      <c r="A33" s="372"/>
      <c r="D33" s="708" t="s">
        <v>986</v>
      </c>
      <c r="E33" s="737">
        <f t="shared" ref="E33" si="14">paramChallengeCustSuccessCSAT</f>
        <v>0</v>
      </c>
      <c r="H33" s="1152"/>
      <c r="I33" s="1152"/>
      <c r="J33" s="1152"/>
      <c r="K33" s="1152"/>
      <c r="L33" s="1152"/>
      <c r="M33" s="1152"/>
    </row>
    <row r="34" spans="1:13" s="689" customFormat="1" ht="2.1" customHeight="1">
      <c r="A34" s="372"/>
      <c r="B34" s="284"/>
      <c r="D34" s="688"/>
      <c r="E34" s="688"/>
      <c r="H34" s="1153"/>
      <c r="I34" s="1152"/>
      <c r="J34" s="1152"/>
      <c r="K34" s="1152"/>
      <c r="L34" s="1152"/>
      <c r="M34" s="1152"/>
    </row>
    <row r="35" spans="1:13" s="284" customFormat="1" ht="13.8">
      <c r="A35" s="372"/>
      <c r="D35" s="694" t="s">
        <v>1714</v>
      </c>
      <c r="E35" s="714">
        <f>SUM(E29:E34)</f>
        <v>93.929999999999993</v>
      </c>
      <c r="F35" s="715" t="s">
        <v>1712</v>
      </c>
      <c r="H35" s="1153"/>
      <c r="I35" s="1152"/>
      <c r="J35" s="1152"/>
      <c r="K35" s="1152"/>
      <c r="L35" s="1152"/>
      <c r="M35" s="1152"/>
    </row>
    <row r="36" spans="1:13" ht="12.75" customHeight="1">
      <c r="H36" s="1154"/>
      <c r="I36" s="1155"/>
      <c r="J36" s="1155"/>
      <c r="K36" s="1155"/>
      <c r="L36" s="1155"/>
      <c r="M36" s="1155"/>
    </row>
    <row r="37" spans="1:13" s="676" customFormat="1" ht="13.8">
      <c r="B37" s="581" t="s">
        <v>1699</v>
      </c>
      <c r="C37" s="677"/>
      <c r="D37" s="677"/>
      <c r="E37" s="678"/>
      <c r="H37" s="1156"/>
      <c r="I37" s="1157"/>
      <c r="J37" s="1157"/>
      <c r="K37" s="1157"/>
      <c r="L37" s="1157"/>
      <c r="M37" s="1157"/>
    </row>
    <row r="38" spans="1:13" s="284" customFormat="1" ht="13.8">
      <c r="A38" s="372"/>
      <c r="E38" s="366"/>
      <c r="H38" s="1153"/>
      <c r="I38" s="1158"/>
      <c r="J38" s="1152"/>
      <c r="K38" s="1152"/>
      <c r="L38" s="1152"/>
      <c r="M38" s="1159"/>
    </row>
    <row r="39" spans="1:13" s="284" customFormat="1" ht="13.8">
      <c r="A39" s="372"/>
      <c r="C39" s="684"/>
      <c r="D39" s="684"/>
      <c r="E39" s="690" t="s">
        <v>7</v>
      </c>
      <c r="H39" s="1153"/>
      <c r="I39" s="1152"/>
      <c r="J39" s="1152"/>
      <c r="K39" s="1152"/>
      <c r="L39" s="1152"/>
      <c r="M39" s="1152"/>
    </row>
    <row r="40" spans="1:13" s="284" customFormat="1" ht="13.8">
      <c r="A40" s="372"/>
      <c r="D40" s="716" t="s">
        <v>1715</v>
      </c>
      <c r="E40" s="713">
        <f t="shared" ref="E40" si="15">obalCustSuccessEE</f>
        <v>99.66</v>
      </c>
      <c r="F40" s="366"/>
      <c r="H40" s="1160" t="s">
        <v>784</v>
      </c>
      <c r="I40" s="1152" t="s">
        <v>783</v>
      </c>
      <c r="J40" s="1152" t="s">
        <v>782</v>
      </c>
      <c r="K40" s="1152" t="s">
        <v>781</v>
      </c>
      <c r="L40" s="1152" t="s">
        <v>780</v>
      </c>
      <c r="M40" s="1152" t="s">
        <v>779</v>
      </c>
    </row>
    <row r="41" spans="1:13" s="284" customFormat="1" ht="13.8">
      <c r="A41" s="372"/>
      <c r="D41" s="707" t="str">
        <f>nmProd1Offering1</f>
        <v>Workspace 365</v>
      </c>
      <c r="E41" s="737">
        <f t="shared" ref="E41" si="16">INDEX($H41:$M41,decEGProd1Offering1+1)</f>
        <v>-1.125</v>
      </c>
      <c r="H41" s="1150">
        <v>-1.125</v>
      </c>
      <c r="I41" s="1151">
        <v>-0.5625</v>
      </c>
      <c r="J41" s="1151">
        <v>0</v>
      </c>
      <c r="K41" s="1151">
        <v>0.5625</v>
      </c>
      <c r="L41" s="1151">
        <v>1.125</v>
      </c>
      <c r="M41" s="1151">
        <v>1.6875</v>
      </c>
    </row>
    <row r="42" spans="1:13" s="284" customFormat="1" ht="13.8">
      <c r="A42" s="372"/>
      <c r="D42" s="707" t="str">
        <f>nmProd3Offering2</f>
        <v>Devices</v>
      </c>
      <c r="E42" s="737">
        <f t="shared" ref="E42" si="17">INDEX($H42:$M42,decEGProd3Offering2+1)</f>
        <v>-1.125</v>
      </c>
      <c r="H42" s="1150">
        <v>-1.125</v>
      </c>
      <c r="I42" s="1151">
        <v>-0.5625</v>
      </c>
      <c r="J42" s="1151">
        <v>0</v>
      </c>
      <c r="K42" s="1151">
        <v>0.5625</v>
      </c>
      <c r="L42" s="1151">
        <v>1.125</v>
      </c>
      <c r="M42" s="1151">
        <v>1.6875</v>
      </c>
    </row>
    <row r="43" spans="1:13" s="284" customFormat="1" ht="13.8">
      <c r="A43" s="372"/>
      <c r="D43" s="708" t="s">
        <v>1665</v>
      </c>
      <c r="E43" s="737">
        <f t="shared" ref="E43" si="18">ROUND((cbalAvgConsumption-obalAvgConsumption)*10*$H43,2)</f>
        <v>-1.23</v>
      </c>
      <c r="H43" s="1150">
        <v>3</v>
      </c>
      <c r="I43" s="1152"/>
      <c r="J43" s="1152"/>
      <c r="K43" s="1152"/>
      <c r="L43" s="1152"/>
      <c r="M43" s="1152"/>
    </row>
    <row r="44" spans="1:13" s="284" customFormat="1" ht="13.8">
      <c r="A44" s="372"/>
      <c r="D44" s="708" t="s">
        <v>986</v>
      </c>
      <c r="E44" s="737">
        <f t="shared" ref="E44" si="19">paramChallengeCustSuccessWHI</f>
        <v>0</v>
      </c>
    </row>
    <row r="45" spans="1:13" s="689" customFormat="1" ht="2.1" customHeight="1">
      <c r="A45" s="372"/>
      <c r="B45" s="284"/>
      <c r="D45" s="688"/>
      <c r="E45" s="688"/>
      <c r="H45" s="910">
        <v>2</v>
      </c>
      <c r="I45" s="284"/>
      <c r="J45" s="284"/>
      <c r="K45" s="284"/>
      <c r="L45" s="284"/>
      <c r="M45" s="284"/>
    </row>
    <row r="46" spans="1:13" s="284" customFormat="1" ht="13.8">
      <c r="A46" s="372"/>
      <c r="D46" s="694" t="s">
        <v>1716</v>
      </c>
      <c r="E46" s="714">
        <f>SUM(E40:E45)</f>
        <v>96.179999999999993</v>
      </c>
      <c r="F46" s="715" t="s">
        <v>1717</v>
      </c>
      <c r="H46" s="911"/>
    </row>
    <row r="48" spans="1:13" s="676" customFormat="1" ht="13.8">
      <c r="B48" s="581" t="s">
        <v>1718</v>
      </c>
      <c r="C48" s="677"/>
      <c r="D48" s="677"/>
      <c r="E48" s="678"/>
      <c r="H48" s="580"/>
    </row>
    <row r="50" spans="4:6" ht="12.75" customHeight="1">
      <c r="D50" s="629" t="s">
        <v>117</v>
      </c>
      <c r="E50" s="717">
        <f t="shared" ref="E50" si="20">calcCustSuccessRev</f>
        <v>98.429999999999993</v>
      </c>
    </row>
    <row r="51" spans="4:6" ht="12.75" customHeight="1">
      <c r="D51" s="629" t="s">
        <v>1707</v>
      </c>
      <c r="E51" s="717">
        <f t="shared" ref="E51" si="21">calcCustSuccessOpMargin</f>
        <v>91.679999999999993</v>
      </c>
    </row>
    <row r="52" spans="4:6" ht="12.75" customHeight="1">
      <c r="D52" s="629" t="s">
        <v>974</v>
      </c>
      <c r="E52" s="717">
        <f t="shared" ref="E52" si="22">calcCustSuccessCSAT</f>
        <v>93.929999999999993</v>
      </c>
    </row>
    <row r="53" spans="4:6" ht="12.75" customHeight="1">
      <c r="D53" s="629" t="s">
        <v>1699</v>
      </c>
      <c r="E53" s="717">
        <f t="shared" ref="E53" si="23">calcCustSuccessEE</f>
        <v>96.179999999999993</v>
      </c>
    </row>
    <row r="54" spans="4:6" ht="12.75" customHeight="1">
      <c r="D54" s="393" t="s">
        <v>1718</v>
      </c>
      <c r="E54" s="714">
        <f>AVERAGE(E50:E53)</f>
        <v>95.054999999999993</v>
      </c>
      <c r="F54" s="629" t="s">
        <v>1719</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2"/>
  </sheetPr>
  <dimension ref="A1:U86"/>
  <sheetViews>
    <sheetView workbookViewId="0"/>
  </sheetViews>
  <sheetFormatPr defaultColWidth="15.26953125" defaultRowHeight="12.75" customHeight="1"/>
  <cols>
    <col min="1" max="2" width="2.36328125" style="586" customWidth="1"/>
    <col min="3" max="3" width="2.7265625" style="586" customWidth="1"/>
    <col min="4" max="4" width="30.81640625" style="586" customWidth="1"/>
    <col min="5" max="14" width="14.81640625" style="586" customWidth="1"/>
    <col min="15" max="15" width="22.90625" style="586" customWidth="1"/>
    <col min="16" max="16" width="7.453125" style="586" customWidth="1"/>
    <col min="17" max="16384" width="15.26953125" style="586"/>
  </cols>
  <sheetData>
    <row r="1" spans="1:21" s="874" customFormat="1" ht="16.2">
      <c r="A1" s="873" t="s">
        <v>1480</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2641</v>
      </c>
      <c r="P2" s="875"/>
      <c r="Q2" s="875"/>
      <c r="R2" s="875"/>
      <c r="S2" s="875"/>
      <c r="U2" s="873"/>
    </row>
    <row r="3" spans="1:21" s="619" customFormat="1" ht="12.75" customHeight="1">
      <c r="D3" s="620"/>
      <c r="F3" s="620"/>
      <c r="K3" s="620"/>
    </row>
    <row r="4" spans="1:21" s="621" customFormat="1" ht="13.8">
      <c r="A4" s="626" t="s">
        <v>1486</v>
      </c>
      <c r="E4" s="625" t="s">
        <v>851</v>
      </c>
      <c r="F4" s="624">
        <f>xxRound</f>
        <v>1</v>
      </c>
      <c r="G4" s="623" t="s">
        <v>850</v>
      </c>
      <c r="H4" s="622"/>
      <c r="I4" s="622"/>
      <c r="J4" s="625" t="s">
        <v>851</v>
      </c>
      <c r="K4" s="624">
        <v>1</v>
      </c>
      <c r="L4" s="623" t="s">
        <v>850</v>
      </c>
      <c r="M4" s="622"/>
      <c r="N4" s="622"/>
    </row>
    <row r="5" spans="1:21" s="619" customFormat="1" ht="12.75" customHeight="1">
      <c r="D5" s="620"/>
      <c r="F5" s="620"/>
      <c r="K5" s="620"/>
    </row>
    <row r="6" spans="1:21" s="619" customFormat="1" ht="12.75" customHeight="1">
      <c r="D6" s="620"/>
      <c r="F6" s="620" t="s">
        <v>1487</v>
      </c>
      <c r="K6" s="620" t="s">
        <v>1487</v>
      </c>
    </row>
    <row r="7" spans="1:21" s="619" customFormat="1" ht="12.75" customHeight="1">
      <c r="D7" s="620"/>
      <c r="F7" s="620"/>
      <c r="K7" s="620"/>
    </row>
    <row r="8" spans="1:21" s="619" customFormat="1" ht="13.8">
      <c r="D8" s="619" t="s">
        <v>865</v>
      </c>
      <c r="E8" s="183" t="s">
        <v>357</v>
      </c>
      <c r="F8" s="182"/>
      <c r="J8" s="183" t="s">
        <v>357</v>
      </c>
      <c r="K8" s="182"/>
    </row>
    <row r="9" spans="1:21" ht="12" customHeight="1">
      <c r="B9" s="602"/>
      <c r="D9" s="596"/>
    </row>
    <row r="10" spans="1:21" s="592" customFormat="1" ht="13.8">
      <c r="B10" s="603" t="s">
        <v>356</v>
      </c>
      <c r="E10" s="593"/>
      <c r="F10" s="593"/>
      <c r="G10" s="593"/>
      <c r="H10" s="593"/>
      <c r="I10" s="593"/>
      <c r="J10" s="593"/>
      <c r="K10" s="593"/>
      <c r="L10" s="593"/>
      <c r="M10" s="593"/>
      <c r="N10" s="593"/>
    </row>
    <row r="11" spans="1:21" ht="13.8"/>
    <row r="12" spans="1:21" ht="13.8">
      <c r="D12" s="602" t="s">
        <v>383</v>
      </c>
    </row>
    <row r="13" spans="1:21" ht="13.8">
      <c r="D13" s="618"/>
      <c r="E13" s="613" t="s">
        <v>385</v>
      </c>
      <c r="I13" s="617" t="s">
        <v>384</v>
      </c>
      <c r="J13" s="613" t="s">
        <v>385</v>
      </c>
    </row>
    <row r="14" spans="1:21" ht="13.8">
      <c r="D14" s="616"/>
      <c r="E14" s="613" t="s">
        <v>354</v>
      </c>
      <c r="I14" s="615"/>
      <c r="J14" s="613" t="s">
        <v>354</v>
      </c>
    </row>
    <row r="15" spans="1:21" ht="13.8">
      <c r="D15" s="614"/>
      <c r="E15" s="613" t="s">
        <v>353</v>
      </c>
      <c r="I15" s="612"/>
      <c r="J15" s="613" t="s">
        <v>353</v>
      </c>
    </row>
    <row r="16" spans="1:21" ht="13.8">
      <c r="E16" s="595"/>
      <c r="I16" s="595"/>
      <c r="J16" s="595"/>
      <c r="N16" s="595"/>
    </row>
    <row r="17" spans="1:16" s="592" customFormat="1" ht="21" customHeight="1">
      <c r="B17" s="594" t="s">
        <v>113</v>
      </c>
      <c r="E17" s="593"/>
      <c r="F17" s="593"/>
      <c r="G17" s="593"/>
      <c r="H17" s="593"/>
      <c r="I17" s="593"/>
      <c r="J17" s="593"/>
      <c r="K17" s="593"/>
      <c r="L17" s="593"/>
      <c r="M17" s="593"/>
      <c r="N17" s="593"/>
    </row>
    <row r="18" spans="1:16" ht="13.8"/>
    <row r="19" spans="1:16" s="592" customFormat="1" ht="13.8">
      <c r="B19" s="603" t="s">
        <v>1478</v>
      </c>
      <c r="E19" s="593"/>
      <c r="F19" s="593"/>
      <c r="G19" s="593"/>
      <c r="H19" s="593"/>
      <c r="I19" s="593"/>
      <c r="J19" s="593"/>
      <c r="K19" s="593"/>
      <c r="L19" s="593"/>
      <c r="M19" s="593"/>
      <c r="N19" s="593"/>
    </row>
    <row r="20" spans="1:16" ht="13.8">
      <c r="E20" s="595"/>
      <c r="F20" s="595"/>
      <c r="G20" s="595"/>
      <c r="H20" s="595"/>
      <c r="I20" s="595"/>
      <c r="J20" s="595"/>
      <c r="K20" s="595"/>
      <c r="L20" s="595"/>
      <c r="M20" s="595"/>
      <c r="N20" s="595"/>
      <c r="O20" s="595"/>
      <c r="P20" s="595"/>
    </row>
    <row r="21" spans="1:16" ht="13.8">
      <c r="D21" s="602" t="s">
        <v>1477</v>
      </c>
      <c r="E21" s="595" t="s">
        <v>765</v>
      </c>
      <c r="F21" s="595" t="s">
        <v>764</v>
      </c>
      <c r="G21" s="595" t="s">
        <v>763</v>
      </c>
      <c r="H21" s="595" t="s">
        <v>762</v>
      </c>
      <c r="I21" s="595"/>
      <c r="J21" s="595"/>
      <c r="K21" s="595"/>
      <c r="L21" s="595"/>
      <c r="M21" s="595"/>
      <c r="N21" s="595"/>
      <c r="O21" s="595"/>
      <c r="P21" s="595"/>
    </row>
    <row r="22" spans="1:16" s="589" customFormat="1" ht="4.5" customHeight="1">
      <c r="A22" s="586"/>
      <c r="B22" s="586"/>
      <c r="C22" s="586"/>
      <c r="D22" s="586"/>
      <c r="E22" s="595"/>
      <c r="F22" s="597"/>
      <c r="G22" s="595"/>
      <c r="H22" s="595"/>
      <c r="I22" s="595"/>
      <c r="J22" s="595"/>
      <c r="K22" s="595"/>
      <c r="L22" s="595"/>
      <c r="M22" s="595"/>
      <c r="N22" s="595"/>
      <c r="O22" s="595"/>
      <c r="P22" s="595"/>
    </row>
    <row r="23" spans="1:16" ht="13.8">
      <c r="D23" s="586" t="s">
        <v>1476</v>
      </c>
      <c r="E23" s="600">
        <v>0.3</v>
      </c>
      <c r="F23" s="600">
        <v>0.3</v>
      </c>
      <c r="G23" s="600">
        <v>0.3</v>
      </c>
      <c r="H23" s="600">
        <v>0.3</v>
      </c>
      <c r="I23" s="599"/>
      <c r="J23" s="595"/>
      <c r="K23" s="595"/>
      <c r="L23" s="595"/>
      <c r="M23" s="595"/>
      <c r="N23" s="595"/>
      <c r="O23" s="595"/>
      <c r="P23" s="595"/>
    </row>
    <row r="24" spans="1:16" s="589" customFormat="1" ht="4.5" customHeight="1">
      <c r="A24" s="586"/>
      <c r="B24" s="586"/>
      <c r="C24" s="586"/>
      <c r="D24" s="586"/>
      <c r="E24" s="595"/>
      <c r="F24" s="597"/>
      <c r="G24" s="595"/>
      <c r="H24" s="595"/>
      <c r="I24" s="595"/>
      <c r="J24" s="595"/>
      <c r="K24" s="595"/>
      <c r="L24" s="595"/>
      <c r="M24" s="595"/>
      <c r="N24" s="595"/>
      <c r="O24" s="595"/>
      <c r="P24" s="595"/>
    </row>
    <row r="25" spans="1:16" ht="13.8">
      <c r="D25" s="586" t="s">
        <v>1475</v>
      </c>
      <c r="E25" s="606">
        <f>mmSubProd1Seg1RevBalancing+mmSubProd1Seg2RevBalancing+mmSubProd1Seg3RevBalancing+mmSubProd2Seg1RevBalancing+mmSubProd2Seg2RevBalancing</f>
        <v>475655500</v>
      </c>
      <c r="F25" s="606">
        <f>mmSubProd1Seg1RevBalancing+mmSubProd1Seg2RevBalancing+mmSubProd1Seg3RevBalancing+mmSubProd2Seg1RevBalancing+mmSubProd2Seg2RevBalancing</f>
        <v>566417740</v>
      </c>
      <c r="G25" s="606">
        <f>mmSubProd1Seg1RevBalancing+mmSubProd1Seg2RevBalancing+mmSubProd1Seg3RevBalancing+mmSubProd2Seg1RevBalancing+mmSubProd2Seg2RevBalancing</f>
        <v>638632864.00000012</v>
      </c>
      <c r="H25" s="606">
        <f>mmSubProd1Seg1RevBalancing+mmSubProd1Seg2RevBalancing+mmSubProd1Seg3RevBalancing+mmSubProd2Seg1RevBalancing+mmSubProd2Seg2RevBalancing</f>
        <v>761833124.18000007</v>
      </c>
      <c r="I25" s="596"/>
      <c r="J25" s="595"/>
      <c r="K25" s="595"/>
      <c r="L25" s="595"/>
      <c r="M25" s="595"/>
      <c r="N25" s="595"/>
      <c r="O25" s="595"/>
      <c r="P25" s="595"/>
    </row>
    <row r="26" spans="1:16" s="589" customFormat="1" ht="4.5" customHeight="1">
      <c r="A26" s="586"/>
      <c r="B26" s="586"/>
      <c r="C26" s="586"/>
      <c r="D26" s="586"/>
      <c r="E26" s="595"/>
      <c r="F26" s="597"/>
      <c r="G26" s="595"/>
      <c r="H26" s="595"/>
      <c r="I26" s="595"/>
      <c r="J26" s="595"/>
      <c r="K26" s="595"/>
      <c r="L26" s="595"/>
      <c r="M26" s="595"/>
      <c r="N26" s="595"/>
      <c r="O26" s="595"/>
      <c r="P26" s="595"/>
    </row>
    <row r="27" spans="1:16" ht="12.75" customHeight="1">
      <c r="D27" s="586" t="s">
        <v>1474</v>
      </c>
      <c r="E27" s="606">
        <v>1</v>
      </c>
      <c r="F27" s="611">
        <f>E27+1</f>
        <v>2</v>
      </c>
      <c r="G27" s="611">
        <f>F27+1</f>
        <v>3</v>
      </c>
      <c r="H27" s="611">
        <f>G27+1</f>
        <v>4</v>
      </c>
      <c r="I27" s="596"/>
      <c r="J27" s="595"/>
      <c r="K27" s="595"/>
      <c r="L27" s="595"/>
      <c r="M27" s="595"/>
      <c r="N27" s="595"/>
      <c r="O27" s="595"/>
      <c r="P27" s="595"/>
    </row>
    <row r="28" spans="1:16" s="589" customFormat="1" ht="4.5" customHeight="1">
      <c r="A28" s="586"/>
      <c r="B28" s="586"/>
      <c r="C28" s="586"/>
      <c r="D28" s="586"/>
      <c r="E28" s="595"/>
      <c r="F28" s="597"/>
      <c r="G28" s="595"/>
      <c r="H28" s="595"/>
      <c r="I28" s="595"/>
      <c r="J28" s="595"/>
      <c r="K28" s="595"/>
      <c r="L28" s="595"/>
      <c r="M28" s="595"/>
      <c r="N28" s="595"/>
      <c r="O28" s="595"/>
      <c r="P28" s="595"/>
    </row>
    <row r="29" spans="1:16" ht="12.75" customHeight="1">
      <c r="D29" s="586" t="s">
        <v>1469</v>
      </c>
      <c r="E29" s="604">
        <f>(E23*E27*E45)/E25</f>
        <v>6.3070856954245247E-2</v>
      </c>
      <c r="F29" s="604">
        <f>(F23*F27*F45)/F25</f>
        <v>0.10592888563130103</v>
      </c>
      <c r="G29" s="604">
        <f>(G23*G27*G45)/G25</f>
        <v>0.14092603915854848</v>
      </c>
      <c r="H29" s="604">
        <f>(H23*H27*H45)/H25</f>
        <v>0.15751481025344249</v>
      </c>
      <c r="I29" s="595"/>
      <c r="J29" s="595"/>
      <c r="K29" s="595"/>
      <c r="L29" s="595"/>
      <c r="M29" s="595"/>
      <c r="N29" s="595"/>
      <c r="O29" s="595"/>
      <c r="P29" s="595"/>
    </row>
    <row r="30" spans="1:16" ht="13.8">
      <c r="J30" s="595"/>
      <c r="K30" s="595"/>
      <c r="L30" s="595"/>
      <c r="M30" s="595"/>
      <c r="N30" s="595"/>
      <c r="O30" s="595"/>
      <c r="P30" s="595"/>
    </row>
    <row r="31" spans="1:16" ht="13.8">
      <c r="D31" s="602" t="s">
        <v>1473</v>
      </c>
      <c r="E31" s="595" t="s">
        <v>765</v>
      </c>
      <c r="F31" s="595" t="s">
        <v>764</v>
      </c>
      <c r="G31" s="595" t="s">
        <v>763</v>
      </c>
      <c r="H31" s="595" t="s">
        <v>762</v>
      </c>
      <c r="J31" s="595"/>
      <c r="K31" s="595"/>
      <c r="L31" s="595"/>
      <c r="M31" s="595"/>
      <c r="N31" s="595"/>
      <c r="O31" s="595"/>
      <c r="P31" s="595"/>
    </row>
    <row r="32" spans="1:16" s="589" customFormat="1" ht="4.5" customHeight="1">
      <c r="A32" s="586"/>
      <c r="B32" s="586"/>
      <c r="C32" s="586"/>
      <c r="D32" s="586"/>
      <c r="E32" s="595"/>
      <c r="F32" s="597"/>
      <c r="G32" s="595"/>
      <c r="H32" s="595"/>
      <c r="I32" s="586"/>
      <c r="J32" s="595"/>
      <c r="K32" s="595"/>
      <c r="L32" s="595"/>
      <c r="M32" s="595"/>
      <c r="N32" s="595"/>
      <c r="O32" s="595"/>
      <c r="P32" s="595"/>
    </row>
    <row r="33" spans="1:17" ht="13.8">
      <c r="D33" s="586" t="s">
        <v>1472</v>
      </c>
      <c r="E33" s="610">
        <v>0</v>
      </c>
      <c r="F33" s="609">
        <v>1</v>
      </c>
      <c r="G33" s="609">
        <v>1</v>
      </c>
      <c r="H33" s="609">
        <v>1</v>
      </c>
      <c r="J33" s="595"/>
      <c r="K33" s="595"/>
      <c r="L33" s="595"/>
      <c r="M33" s="595"/>
      <c r="N33" s="595"/>
      <c r="O33" s="595"/>
      <c r="P33" s="595"/>
    </row>
    <row r="34" spans="1:17" s="589" customFormat="1" ht="4.5" customHeight="1">
      <c r="A34" s="586"/>
      <c r="B34" s="586"/>
      <c r="C34" s="586"/>
      <c r="D34" s="586"/>
      <c r="E34" s="595"/>
      <c r="F34" s="597"/>
      <c r="G34" s="595"/>
      <c r="H34" s="595"/>
      <c r="I34" s="586"/>
      <c r="J34" s="595"/>
      <c r="K34" s="595"/>
      <c r="L34" s="595"/>
      <c r="M34" s="595"/>
      <c r="N34" s="595"/>
      <c r="O34" s="595"/>
      <c r="P34" s="595"/>
    </row>
    <row r="35" spans="1:17" ht="13.8">
      <c r="D35" s="586" t="s">
        <v>1471</v>
      </c>
      <c r="E35" s="604">
        <f>(E$25*E$29)/(E$27*E$45)</f>
        <v>0.3</v>
      </c>
      <c r="F35" s="604">
        <f>(F$25*F$29)/(($E$27+$F$33)*F$45)</f>
        <v>0.3</v>
      </c>
      <c r="G35" s="604">
        <f>(G$25*G$29)/(($E$27+$F$33+$G$33)*G$45)</f>
        <v>0.29999999999999993</v>
      </c>
      <c r="H35" s="604">
        <f>(H$25*H$29)/(($E$27+$F$33+$G$33+$H$33)*H$45)</f>
        <v>0.3</v>
      </c>
      <c r="J35" s="595"/>
      <c r="K35" s="595"/>
      <c r="L35" s="595"/>
      <c r="M35" s="595"/>
      <c r="N35" s="595"/>
      <c r="O35" s="595"/>
      <c r="P35" s="595"/>
    </row>
    <row r="36" spans="1:17" ht="13.8"/>
    <row r="37" spans="1:17" s="592" customFormat="1" ht="13.8">
      <c r="B37" s="603" t="s">
        <v>1470</v>
      </c>
      <c r="E37" s="593"/>
      <c r="F37" s="593"/>
      <c r="G37" s="593"/>
      <c r="H37" s="593"/>
      <c r="I37" s="593"/>
      <c r="J37" s="593"/>
      <c r="K37" s="593"/>
      <c r="L37" s="593"/>
      <c r="M37" s="593"/>
      <c r="N37" s="593"/>
    </row>
    <row r="38" spans="1:17" ht="13.8">
      <c r="E38" s="595"/>
      <c r="F38" s="595"/>
      <c r="G38" s="595"/>
      <c r="H38" s="595"/>
      <c r="I38" s="595"/>
      <c r="J38" s="595"/>
      <c r="K38" s="595"/>
      <c r="L38" s="595"/>
      <c r="M38" s="595"/>
      <c r="N38" s="595"/>
    </row>
    <row r="39" spans="1:17" ht="12.75" customHeight="1">
      <c r="D39" s="586" t="s">
        <v>1488</v>
      </c>
      <c r="E39" s="606">
        <f t="shared" ref="E39:N39" si="0">finPNLTotalBookings</f>
        <v>625976182.4852407</v>
      </c>
      <c r="F39" s="606">
        <f t="shared" si="0"/>
        <v>625976182.4852407</v>
      </c>
      <c r="G39" s="606">
        <f t="shared" si="0"/>
        <v>625976182.4852407</v>
      </c>
      <c r="H39" s="606">
        <f t="shared" si="0"/>
        <v>625976182.4852407</v>
      </c>
      <c r="I39" s="606">
        <f t="shared" si="0"/>
        <v>625976182.4852407</v>
      </c>
      <c r="J39" s="606">
        <f t="shared" si="0"/>
        <v>625976182.4852407</v>
      </c>
      <c r="K39" s="606">
        <f t="shared" si="0"/>
        <v>625976182.4852407</v>
      </c>
      <c r="L39" s="606">
        <f t="shared" si="0"/>
        <v>625976182.4852407</v>
      </c>
      <c r="M39" s="606">
        <f t="shared" si="0"/>
        <v>625976182.4852407</v>
      </c>
      <c r="N39" s="606">
        <f t="shared" si="0"/>
        <v>625976182.4852407</v>
      </c>
      <c r="O39" s="586" t="s">
        <v>1489</v>
      </c>
      <c r="P39" s="596"/>
      <c r="Q39" s="596"/>
    </row>
    <row r="40" spans="1:17" s="589" customFormat="1" ht="4.5" customHeight="1">
      <c r="A40" s="586"/>
      <c r="B40" s="586"/>
      <c r="C40" s="586"/>
      <c r="D40" s="586"/>
      <c r="E40" s="595"/>
      <c r="F40" s="597"/>
      <c r="G40" s="595"/>
      <c r="H40" s="595"/>
      <c r="I40" s="595"/>
      <c r="J40" s="595"/>
      <c r="K40" s="597"/>
      <c r="L40" s="595"/>
      <c r="M40" s="595"/>
      <c r="N40" s="595"/>
      <c r="O40" s="586"/>
      <c r="P40" s="586"/>
    </row>
    <row r="41" spans="1:17" ht="12.75" customHeight="1">
      <c r="D41" s="586" t="s">
        <v>1490</v>
      </c>
      <c r="E41" s="606">
        <f t="shared" ref="E41:N41" si="1">decOpsDataCenter</f>
        <v>0</v>
      </c>
      <c r="F41" s="606">
        <f t="shared" si="1"/>
        <v>0</v>
      </c>
      <c r="G41" s="606">
        <f t="shared" si="1"/>
        <v>0</v>
      </c>
      <c r="H41" s="606">
        <f t="shared" si="1"/>
        <v>0</v>
      </c>
      <c r="I41" s="606">
        <f t="shared" si="1"/>
        <v>0</v>
      </c>
      <c r="J41" s="606">
        <f t="shared" si="1"/>
        <v>0</v>
      </c>
      <c r="K41" s="606">
        <f t="shared" si="1"/>
        <v>0</v>
      </c>
      <c r="L41" s="606">
        <f t="shared" si="1"/>
        <v>0</v>
      </c>
      <c r="M41" s="606">
        <f t="shared" si="1"/>
        <v>0</v>
      </c>
      <c r="N41" s="606">
        <f t="shared" si="1"/>
        <v>0</v>
      </c>
      <c r="O41" s="586" t="s">
        <v>1491</v>
      </c>
      <c r="P41" s="596"/>
    </row>
    <row r="42" spans="1:17" s="589" customFormat="1" ht="4.5" customHeight="1">
      <c r="A42" s="586"/>
      <c r="B42" s="586"/>
      <c r="C42" s="586"/>
      <c r="D42" s="586"/>
      <c r="E42" s="607"/>
      <c r="F42" s="608"/>
      <c r="G42" s="607"/>
      <c r="H42" s="607"/>
      <c r="I42" s="607"/>
      <c r="J42" s="607"/>
      <c r="K42" s="608"/>
      <c r="L42" s="607"/>
      <c r="M42" s="607"/>
      <c r="N42" s="607"/>
      <c r="O42" s="586"/>
      <c r="P42" s="586"/>
    </row>
    <row r="43" spans="1:17" ht="12.75" customHeight="1">
      <c r="D43" s="586" t="s">
        <v>1492</v>
      </c>
      <c r="E43" s="606">
        <f t="shared" ref="E43:N43" si="2">obalOpsDataCenter+decOpsDataCenter</f>
        <v>1</v>
      </c>
      <c r="F43" s="606">
        <f t="shared" si="2"/>
        <v>1</v>
      </c>
      <c r="G43" s="606">
        <f t="shared" si="2"/>
        <v>1</v>
      </c>
      <c r="H43" s="606">
        <f t="shared" si="2"/>
        <v>1</v>
      </c>
      <c r="I43" s="606">
        <f t="shared" si="2"/>
        <v>1</v>
      </c>
      <c r="J43" s="606">
        <f t="shared" si="2"/>
        <v>1</v>
      </c>
      <c r="K43" s="606">
        <f t="shared" si="2"/>
        <v>1</v>
      </c>
      <c r="L43" s="606">
        <f t="shared" si="2"/>
        <v>1</v>
      </c>
      <c r="M43" s="606">
        <f t="shared" si="2"/>
        <v>1</v>
      </c>
      <c r="N43" s="606">
        <f t="shared" si="2"/>
        <v>1</v>
      </c>
      <c r="O43" s="586" t="s">
        <v>1493</v>
      </c>
      <c r="P43" s="596"/>
    </row>
    <row r="44" spans="1:17" s="589" customFormat="1" ht="4.5" customHeight="1">
      <c r="A44" s="586"/>
      <c r="B44" s="586"/>
      <c r="C44" s="586"/>
      <c r="D44" s="586"/>
      <c r="E44" s="595"/>
      <c r="F44" s="597"/>
      <c r="G44" s="595"/>
      <c r="H44" s="595"/>
      <c r="I44" s="595"/>
      <c r="J44" s="595"/>
      <c r="K44" s="597"/>
      <c r="L44" s="595"/>
      <c r="M44" s="595"/>
      <c r="N44" s="595"/>
      <c r="O44" s="586"/>
      <c r="P44" s="586"/>
    </row>
    <row r="45" spans="1:17" ht="12.75" customHeight="1">
      <c r="D45" s="586" t="s">
        <v>1494</v>
      </c>
      <c r="E45" s="605">
        <f t="shared" ref="E45:N45" si="3">paramNewDataCenterExp</f>
        <v>100000000</v>
      </c>
      <c r="F45" s="605">
        <f t="shared" si="3"/>
        <v>100000000</v>
      </c>
      <c r="G45" s="605">
        <f t="shared" si="3"/>
        <v>100000000</v>
      </c>
      <c r="H45" s="605">
        <f t="shared" si="3"/>
        <v>100000000</v>
      </c>
      <c r="I45" s="605">
        <f t="shared" si="3"/>
        <v>100000000</v>
      </c>
      <c r="J45" s="605">
        <f t="shared" si="3"/>
        <v>100000000</v>
      </c>
      <c r="K45" s="605">
        <f t="shared" si="3"/>
        <v>100000000</v>
      </c>
      <c r="L45" s="605">
        <f t="shared" si="3"/>
        <v>100000000</v>
      </c>
      <c r="M45" s="605">
        <f t="shared" si="3"/>
        <v>100000000</v>
      </c>
      <c r="N45" s="605">
        <f t="shared" si="3"/>
        <v>100000000</v>
      </c>
      <c r="O45" s="586" t="s">
        <v>1495</v>
      </c>
      <c r="P45" s="596"/>
    </row>
    <row r="46" spans="1:17" s="589" customFormat="1" ht="4.5" customHeight="1">
      <c r="A46" s="586"/>
      <c r="B46" s="586"/>
      <c r="C46" s="586"/>
      <c r="D46" s="586"/>
      <c r="E46" s="595"/>
      <c r="F46" s="597"/>
      <c r="G46" s="595"/>
      <c r="H46" s="595"/>
      <c r="I46" s="595"/>
      <c r="J46" s="595"/>
      <c r="K46" s="597"/>
      <c r="L46" s="595"/>
      <c r="M46" s="595"/>
      <c r="N46" s="595"/>
      <c r="O46" s="586"/>
      <c r="P46" s="586"/>
    </row>
    <row r="47" spans="1:17" ht="12.75" customHeight="1">
      <c r="D47" s="586" t="s">
        <v>1469</v>
      </c>
      <c r="E47" s="604">
        <f t="shared" ref="E47:N47" si="4">INDEX($E$29:$H$29,calcDataCenterRound+1)</f>
        <v>0.10592888563130103</v>
      </c>
      <c r="F47" s="604">
        <f t="shared" si="4"/>
        <v>0.10592888563130103</v>
      </c>
      <c r="G47" s="604">
        <f t="shared" si="4"/>
        <v>0.10592888563130103</v>
      </c>
      <c r="H47" s="604">
        <f t="shared" si="4"/>
        <v>0.10592888563130103</v>
      </c>
      <c r="I47" s="604">
        <f t="shared" si="4"/>
        <v>0.10592888563130103</v>
      </c>
      <c r="J47" s="604">
        <f t="shared" si="4"/>
        <v>0.10592888563130103</v>
      </c>
      <c r="K47" s="604">
        <f t="shared" si="4"/>
        <v>0.10592888563130103</v>
      </c>
      <c r="L47" s="604">
        <f t="shared" si="4"/>
        <v>0.10592888563130103</v>
      </c>
      <c r="M47" s="604">
        <f t="shared" si="4"/>
        <v>0.10592888563130103</v>
      </c>
      <c r="N47" s="604">
        <f t="shared" si="4"/>
        <v>0.10592888563130103</v>
      </c>
      <c r="O47" s="586" t="s">
        <v>1496</v>
      </c>
      <c r="P47" s="596" t="s">
        <v>1497</v>
      </c>
    </row>
    <row r="48" spans="1:17" ht="13.8"/>
    <row r="49" spans="1:16" s="592" customFormat="1" ht="13.8">
      <c r="B49" s="603" t="s">
        <v>1468</v>
      </c>
      <c r="E49" s="593"/>
      <c r="F49" s="593"/>
      <c r="G49" s="593"/>
      <c r="H49" s="593"/>
      <c r="I49" s="593"/>
      <c r="J49" s="593"/>
      <c r="K49" s="593"/>
      <c r="L49" s="593"/>
      <c r="M49" s="593"/>
      <c r="N49" s="593"/>
    </row>
    <row r="50" spans="1:16" ht="13.8">
      <c r="E50" s="595"/>
      <c r="F50" s="595"/>
      <c r="G50" s="595"/>
      <c r="H50" s="595"/>
      <c r="I50" s="595"/>
      <c r="J50" s="595"/>
      <c r="K50" s="595"/>
      <c r="L50" s="595"/>
      <c r="M50" s="595"/>
      <c r="N50" s="595"/>
    </row>
    <row r="51" spans="1:16" ht="13.8">
      <c r="D51" s="602" t="s">
        <v>1467</v>
      </c>
      <c r="E51" s="595"/>
      <c r="F51" s="595"/>
      <c r="G51" s="595"/>
      <c r="H51" s="595"/>
      <c r="I51" s="595"/>
      <c r="J51" s="595"/>
      <c r="K51" s="595"/>
      <c r="L51" s="595"/>
      <c r="M51" s="595"/>
      <c r="N51" s="595"/>
    </row>
    <row r="52" spans="1:16" s="589" customFormat="1" ht="4.5" customHeight="1">
      <c r="A52" s="586"/>
      <c r="B52" s="586"/>
      <c r="C52" s="586"/>
      <c r="D52" s="586"/>
      <c r="E52" s="595"/>
      <c r="F52" s="595"/>
      <c r="G52" s="595"/>
      <c r="H52" s="595"/>
      <c r="I52" s="595"/>
      <c r="J52" s="595"/>
      <c r="K52" s="595"/>
      <c r="L52" s="595"/>
      <c r="M52" s="595"/>
      <c r="N52" s="595"/>
      <c r="O52" s="599"/>
      <c r="P52" s="586"/>
    </row>
    <row r="53" spans="1:16" ht="13.8">
      <c r="D53" s="586" t="s">
        <v>1466</v>
      </c>
      <c r="E53" s="600">
        <v>1</v>
      </c>
      <c r="F53" s="599" t="s">
        <v>1498</v>
      </c>
      <c r="G53" s="595"/>
      <c r="H53" s="601"/>
      <c r="I53" s="595"/>
      <c r="J53" s="595"/>
      <c r="K53" s="595"/>
      <c r="L53" s="595"/>
      <c r="M53" s="595"/>
      <c r="N53" s="595"/>
    </row>
    <row r="54" spans="1:16" s="589" customFormat="1" ht="4.5" customHeight="1">
      <c r="A54" s="586"/>
      <c r="B54" s="586"/>
      <c r="C54" s="586"/>
      <c r="D54" s="586"/>
      <c r="E54" s="595"/>
      <c r="F54" s="595"/>
      <c r="G54" s="595"/>
      <c r="H54" s="595"/>
      <c r="I54" s="595"/>
      <c r="J54" s="595"/>
      <c r="K54" s="595"/>
      <c r="L54" s="595"/>
      <c r="M54" s="595"/>
      <c r="N54" s="595"/>
      <c r="O54" s="599"/>
      <c r="P54" s="586"/>
    </row>
    <row r="55" spans="1:16" ht="13.8">
      <c r="D55" s="586" t="s">
        <v>1465</v>
      </c>
      <c r="E55" s="600">
        <v>1</v>
      </c>
      <c r="F55" s="599" t="s">
        <v>1499</v>
      </c>
      <c r="G55" s="595"/>
      <c r="H55" s="601"/>
      <c r="I55" s="595"/>
      <c r="J55" s="595"/>
      <c r="K55" s="595"/>
      <c r="L55" s="595"/>
      <c r="M55" s="595"/>
      <c r="N55" s="595"/>
    </row>
    <row r="56" spans="1:16" ht="13.8">
      <c r="E56" s="595"/>
      <c r="F56" s="595"/>
      <c r="G56" s="595"/>
      <c r="H56" s="595"/>
      <c r="I56" s="595"/>
      <c r="J56" s="595"/>
      <c r="K56" s="595"/>
      <c r="L56" s="595"/>
      <c r="M56" s="595"/>
      <c r="N56" s="595"/>
    </row>
    <row r="57" spans="1:16" ht="13.8">
      <c r="D57" s="586" t="s">
        <v>1500</v>
      </c>
      <c r="E57" s="600">
        <v>1</v>
      </c>
      <c r="F57" s="600">
        <v>1</v>
      </c>
      <c r="G57" s="600">
        <v>1</v>
      </c>
      <c r="H57" s="600">
        <v>1</v>
      </c>
      <c r="I57" s="600">
        <v>1</v>
      </c>
      <c r="J57" s="600">
        <v>1</v>
      </c>
      <c r="K57" s="600">
        <v>1</v>
      </c>
      <c r="L57" s="600">
        <v>1</v>
      </c>
      <c r="M57" s="600">
        <v>1</v>
      </c>
      <c r="N57" s="600">
        <v>1</v>
      </c>
      <c r="O57" s="599" t="s">
        <v>1501</v>
      </c>
      <c r="P57" s="596" t="s">
        <v>1464</v>
      </c>
    </row>
    <row r="58" spans="1:16" s="589" customFormat="1" ht="4.5" customHeight="1">
      <c r="A58" s="586"/>
      <c r="B58" s="586"/>
      <c r="C58" s="586"/>
      <c r="D58" s="586"/>
      <c r="E58" s="595"/>
      <c r="F58" s="595"/>
      <c r="G58" s="595"/>
      <c r="H58" s="595"/>
      <c r="I58" s="595"/>
      <c r="J58" s="595"/>
      <c r="K58" s="595"/>
      <c r="L58" s="595"/>
      <c r="M58" s="595"/>
      <c r="N58" s="595"/>
      <c r="O58" s="599"/>
      <c r="P58" s="586"/>
    </row>
    <row r="59" spans="1:16" ht="13.8">
      <c r="D59" s="586" t="s">
        <v>1502</v>
      </c>
      <c r="E59" s="588">
        <f t="shared" ref="E59:N59" si="5">100%-E57</f>
        <v>0</v>
      </c>
      <c r="F59" s="588">
        <f t="shared" si="5"/>
        <v>0</v>
      </c>
      <c r="G59" s="588">
        <f t="shared" si="5"/>
        <v>0</v>
      </c>
      <c r="H59" s="588">
        <f t="shared" si="5"/>
        <v>0</v>
      </c>
      <c r="I59" s="588">
        <f t="shared" si="5"/>
        <v>0</v>
      </c>
      <c r="J59" s="588">
        <f t="shared" si="5"/>
        <v>0</v>
      </c>
      <c r="K59" s="588">
        <f t="shared" si="5"/>
        <v>0</v>
      </c>
      <c r="L59" s="588">
        <f t="shared" si="5"/>
        <v>0</v>
      </c>
      <c r="M59" s="588">
        <f t="shared" si="5"/>
        <v>0</v>
      </c>
      <c r="N59" s="588">
        <f t="shared" si="5"/>
        <v>0</v>
      </c>
      <c r="O59" s="599" t="s">
        <v>1503</v>
      </c>
    </row>
    <row r="60" spans="1:16" ht="13.8">
      <c r="E60" s="595"/>
      <c r="I60" s="595"/>
      <c r="J60" s="595"/>
      <c r="N60" s="595"/>
    </row>
    <row r="61" spans="1:16" s="592" customFormat="1" ht="21" customHeight="1">
      <c r="B61" s="594" t="s">
        <v>112</v>
      </c>
      <c r="E61" s="593"/>
      <c r="F61" s="593"/>
      <c r="G61" s="593"/>
      <c r="H61" s="593"/>
      <c r="I61" s="593"/>
      <c r="J61" s="593"/>
      <c r="K61" s="593"/>
      <c r="L61" s="593"/>
      <c r="M61" s="593"/>
      <c r="N61" s="593"/>
    </row>
    <row r="63" spans="1:16" ht="12.75" customHeight="1">
      <c r="D63" s="586" t="s">
        <v>1504</v>
      </c>
      <c r="E63" s="598">
        <f t="shared" ref="E63:N63" si="6">E74</f>
        <v>0.66308959442397486</v>
      </c>
      <c r="F63" s="598">
        <f t="shared" si="6"/>
        <v>0.66308959442397486</v>
      </c>
      <c r="G63" s="598">
        <f t="shared" si="6"/>
        <v>0.66308959442397486</v>
      </c>
      <c r="H63" s="598">
        <f t="shared" si="6"/>
        <v>0.66308959442397486</v>
      </c>
      <c r="I63" s="598">
        <f t="shared" si="6"/>
        <v>0.66308959442397486</v>
      </c>
      <c r="J63" s="598">
        <f t="shared" si="6"/>
        <v>0.66308959442397486</v>
      </c>
      <c r="K63" s="598">
        <f t="shared" si="6"/>
        <v>0.66308959442397486</v>
      </c>
      <c r="L63" s="598">
        <f t="shared" si="6"/>
        <v>0.66308959442397486</v>
      </c>
      <c r="M63" s="598">
        <f t="shared" si="6"/>
        <v>0.66308959442397486</v>
      </c>
      <c r="N63" s="598">
        <f t="shared" si="6"/>
        <v>0.66308959442397486</v>
      </c>
      <c r="O63" s="586" t="s">
        <v>1505</v>
      </c>
      <c r="P63" s="596" t="s">
        <v>1463</v>
      </c>
    </row>
    <row r="64" spans="1:16" s="589" customFormat="1" ht="4.5" customHeight="1">
      <c r="A64" s="586"/>
      <c r="B64" s="586"/>
      <c r="C64" s="586"/>
      <c r="D64" s="586"/>
      <c r="E64" s="595"/>
      <c r="F64" s="597"/>
      <c r="G64" s="595"/>
      <c r="H64" s="595"/>
      <c r="I64" s="595"/>
      <c r="J64" s="595"/>
      <c r="K64" s="597"/>
      <c r="L64" s="595"/>
      <c r="M64" s="595"/>
      <c r="N64" s="595"/>
      <c r="O64" s="586"/>
      <c r="P64" s="586"/>
    </row>
    <row r="65" spans="1:16" ht="12.75" customHeight="1">
      <c r="D65" s="586" t="s">
        <v>1462</v>
      </c>
      <c r="E65" s="587">
        <f t="shared" ref="E65:N65" si="7">E76</f>
        <v>0</v>
      </c>
      <c r="F65" s="587">
        <f t="shared" si="7"/>
        <v>0</v>
      </c>
      <c r="G65" s="587">
        <f t="shared" si="7"/>
        <v>0</v>
      </c>
      <c r="H65" s="587">
        <f t="shared" si="7"/>
        <v>0</v>
      </c>
      <c r="I65" s="587">
        <f t="shared" si="7"/>
        <v>0</v>
      </c>
      <c r="J65" s="587">
        <f t="shared" si="7"/>
        <v>0</v>
      </c>
      <c r="K65" s="587">
        <f t="shared" si="7"/>
        <v>0</v>
      </c>
      <c r="L65" s="587">
        <f t="shared" si="7"/>
        <v>0</v>
      </c>
      <c r="M65" s="587">
        <f t="shared" si="7"/>
        <v>0</v>
      </c>
      <c r="N65" s="587">
        <f t="shared" si="7"/>
        <v>0</v>
      </c>
      <c r="O65" s="586" t="s">
        <v>1506</v>
      </c>
      <c r="P65" s="596" t="s">
        <v>1507</v>
      </c>
    </row>
    <row r="66" spans="1:16" s="589" customFormat="1" ht="4.5" customHeight="1">
      <c r="A66" s="586"/>
      <c r="B66" s="586"/>
      <c r="C66" s="586"/>
      <c r="D66" s="586"/>
      <c r="E66" s="595">
        <f t="shared" ref="E66:N66" si="8">E77</f>
        <v>0</v>
      </c>
      <c r="F66" s="597">
        <f t="shared" si="8"/>
        <v>0</v>
      </c>
      <c r="G66" s="595">
        <f t="shared" si="8"/>
        <v>0</v>
      </c>
      <c r="H66" s="595">
        <f t="shared" si="8"/>
        <v>0</v>
      </c>
      <c r="I66" s="595">
        <f t="shared" si="8"/>
        <v>0</v>
      </c>
      <c r="J66" s="595">
        <f t="shared" si="8"/>
        <v>0</v>
      </c>
      <c r="K66" s="597">
        <f t="shared" si="8"/>
        <v>0</v>
      </c>
      <c r="L66" s="595">
        <f t="shared" si="8"/>
        <v>0</v>
      </c>
      <c r="M66" s="595">
        <f t="shared" si="8"/>
        <v>0</v>
      </c>
      <c r="N66" s="595">
        <f t="shared" si="8"/>
        <v>0</v>
      </c>
      <c r="O66" s="586"/>
      <c r="P66" s="586"/>
    </row>
    <row r="67" spans="1:16" ht="12.75" customHeight="1">
      <c r="D67" s="586" t="s">
        <v>1461</v>
      </c>
      <c r="E67" s="587">
        <f t="shared" ref="E67:N67" si="9">E78</f>
        <v>0</v>
      </c>
      <c r="F67" s="587">
        <f t="shared" si="9"/>
        <v>0</v>
      </c>
      <c r="G67" s="587">
        <f t="shared" si="9"/>
        <v>0</v>
      </c>
      <c r="H67" s="587">
        <f t="shared" si="9"/>
        <v>0</v>
      </c>
      <c r="I67" s="587">
        <f t="shared" si="9"/>
        <v>0</v>
      </c>
      <c r="J67" s="587">
        <f t="shared" si="9"/>
        <v>0</v>
      </c>
      <c r="K67" s="587">
        <f t="shared" si="9"/>
        <v>0</v>
      </c>
      <c r="L67" s="587">
        <f t="shared" si="9"/>
        <v>0</v>
      </c>
      <c r="M67" s="587">
        <f t="shared" si="9"/>
        <v>0</v>
      </c>
      <c r="N67" s="587">
        <f t="shared" si="9"/>
        <v>0</v>
      </c>
      <c r="O67" s="586" t="s">
        <v>1508</v>
      </c>
      <c r="P67" s="596" t="s">
        <v>1509</v>
      </c>
    </row>
    <row r="68" spans="1:16" ht="13.8">
      <c r="E68" s="595"/>
      <c r="I68" s="595"/>
      <c r="J68" s="595"/>
      <c r="N68" s="595"/>
    </row>
    <row r="69" spans="1:16" s="592" customFormat="1" ht="21" customHeight="1">
      <c r="B69" s="594" t="s">
        <v>119</v>
      </c>
      <c r="E69" s="593"/>
      <c r="F69" s="593"/>
      <c r="G69" s="593"/>
      <c r="H69" s="593"/>
      <c r="I69" s="593"/>
      <c r="J69" s="593"/>
      <c r="K69" s="593"/>
      <c r="L69" s="593"/>
      <c r="M69" s="593"/>
      <c r="N69" s="593"/>
    </row>
    <row r="71" spans="1:16" ht="12.75" customHeight="1">
      <c r="D71" s="586" t="s">
        <v>1460</v>
      </c>
      <c r="E71" s="587">
        <f t="shared" ref="E71:N71" si="10">calcDataCenterSales*calcDataCenterRequiredSales</f>
        <v>66308959.442397483</v>
      </c>
      <c r="F71" s="587">
        <f t="shared" si="10"/>
        <v>66308959.442397483</v>
      </c>
      <c r="G71" s="587">
        <f t="shared" si="10"/>
        <v>66308959.442397483</v>
      </c>
      <c r="H71" s="587">
        <f t="shared" si="10"/>
        <v>66308959.442397483</v>
      </c>
      <c r="I71" s="587">
        <f t="shared" si="10"/>
        <v>66308959.442397483</v>
      </c>
      <c r="J71" s="587">
        <f t="shared" si="10"/>
        <v>66308959.442397483</v>
      </c>
      <c r="K71" s="587">
        <f t="shared" si="10"/>
        <v>66308959.442397483</v>
      </c>
      <c r="L71" s="587">
        <f t="shared" si="10"/>
        <v>66308959.442397483</v>
      </c>
      <c r="M71" s="587">
        <f t="shared" si="10"/>
        <v>66308959.442397483</v>
      </c>
      <c r="N71" s="587">
        <f t="shared" si="10"/>
        <v>66308959.442397483</v>
      </c>
    </row>
    <row r="72" spans="1:16" ht="12.75" customHeight="1">
      <c r="D72" s="586" t="s">
        <v>1459</v>
      </c>
      <c r="E72" s="587">
        <f t="shared" ref="E72:N72" si="11">calcDataCenterInvestCum*calcDataCenterInvestPLevel</f>
        <v>100000000</v>
      </c>
      <c r="F72" s="587">
        <f t="shared" si="11"/>
        <v>100000000</v>
      </c>
      <c r="G72" s="587">
        <f t="shared" si="11"/>
        <v>100000000</v>
      </c>
      <c r="H72" s="587">
        <f t="shared" si="11"/>
        <v>100000000</v>
      </c>
      <c r="I72" s="587">
        <f t="shared" si="11"/>
        <v>100000000</v>
      </c>
      <c r="J72" s="587">
        <f t="shared" si="11"/>
        <v>100000000</v>
      </c>
      <c r="K72" s="587">
        <f t="shared" si="11"/>
        <v>100000000</v>
      </c>
      <c r="L72" s="587">
        <f t="shared" si="11"/>
        <v>100000000</v>
      </c>
      <c r="M72" s="587">
        <f t="shared" si="11"/>
        <v>100000000</v>
      </c>
      <c r="N72" s="587">
        <f t="shared" si="11"/>
        <v>100000000</v>
      </c>
    </row>
    <row r="73" spans="1:16" s="589" customFormat="1" ht="1.5" customHeight="1">
      <c r="D73" s="591"/>
      <c r="E73" s="590"/>
      <c r="F73" s="590"/>
      <c r="G73" s="590"/>
      <c r="H73" s="590"/>
      <c r="I73" s="590"/>
      <c r="J73" s="590"/>
      <c r="K73" s="590"/>
      <c r="L73" s="590"/>
      <c r="M73" s="590"/>
      <c r="N73" s="590"/>
    </row>
    <row r="74" spans="1:16" ht="12.75" customHeight="1">
      <c r="D74" s="586" t="s">
        <v>1504</v>
      </c>
      <c r="E74" s="588">
        <f t="shared" ref="E74:N74" si="12">E71/E72</f>
        <v>0.66308959442397486</v>
      </c>
      <c r="F74" s="588">
        <f t="shared" si="12"/>
        <v>0.66308959442397486</v>
      </c>
      <c r="G74" s="588">
        <f t="shared" si="12"/>
        <v>0.66308959442397486</v>
      </c>
      <c r="H74" s="588">
        <f t="shared" si="12"/>
        <v>0.66308959442397486</v>
      </c>
      <c r="I74" s="588">
        <f t="shared" si="12"/>
        <v>0.66308959442397486</v>
      </c>
      <c r="J74" s="588">
        <f t="shared" si="12"/>
        <v>0.66308959442397486</v>
      </c>
      <c r="K74" s="588">
        <f t="shared" si="12"/>
        <v>0.66308959442397486</v>
      </c>
      <c r="L74" s="588">
        <f t="shared" si="12"/>
        <v>0.66308959442397486</v>
      </c>
      <c r="M74" s="588">
        <f t="shared" si="12"/>
        <v>0.66308959442397486</v>
      </c>
      <c r="N74" s="588">
        <f t="shared" si="12"/>
        <v>0.66308959442397486</v>
      </c>
    </row>
    <row r="76" spans="1:16" ht="12.75" customHeight="1">
      <c r="D76" s="586" t="s">
        <v>1458</v>
      </c>
      <c r="E76" s="587">
        <f t="shared" ref="E76:N76" si="13">calcDataCenterInvestPLevel*calcDataCenterInvestDec*calcDataCenterCapexPerc*calcDataCenterCapexMult</f>
        <v>0</v>
      </c>
      <c r="F76" s="587">
        <f t="shared" si="13"/>
        <v>0</v>
      </c>
      <c r="G76" s="587">
        <f t="shared" si="13"/>
        <v>0</v>
      </c>
      <c r="H76" s="587">
        <f t="shared" si="13"/>
        <v>0</v>
      </c>
      <c r="I76" s="587">
        <f t="shared" si="13"/>
        <v>0</v>
      </c>
      <c r="J76" s="587">
        <f t="shared" si="13"/>
        <v>0</v>
      </c>
      <c r="K76" s="587">
        <f t="shared" si="13"/>
        <v>0</v>
      </c>
      <c r="L76" s="587">
        <f t="shared" si="13"/>
        <v>0</v>
      </c>
      <c r="M76" s="587">
        <f t="shared" si="13"/>
        <v>0</v>
      </c>
      <c r="N76" s="587">
        <f t="shared" si="13"/>
        <v>0</v>
      </c>
      <c r="O76" s="628"/>
    </row>
    <row r="78" spans="1:16" ht="12.75" customHeight="1">
      <c r="D78" s="586" t="s">
        <v>1457</v>
      </c>
      <c r="E78" s="587">
        <f t="shared" ref="E78:N78" si="14">calcDataCenterInvestPLevel*calcDataCenterInvestDec*calcDataCenterOpexPerc*calcDataCenterOpexMult</f>
        <v>0</v>
      </c>
      <c r="F78" s="587">
        <f t="shared" si="14"/>
        <v>0</v>
      </c>
      <c r="G78" s="587">
        <f t="shared" si="14"/>
        <v>0</v>
      </c>
      <c r="H78" s="587">
        <f t="shared" si="14"/>
        <v>0</v>
      </c>
      <c r="I78" s="587">
        <f t="shared" si="14"/>
        <v>0</v>
      </c>
      <c r="J78" s="587">
        <f t="shared" si="14"/>
        <v>0</v>
      </c>
      <c r="K78" s="587">
        <f t="shared" si="14"/>
        <v>0</v>
      </c>
      <c r="L78" s="587">
        <f t="shared" si="14"/>
        <v>0</v>
      </c>
      <c r="M78" s="587">
        <f t="shared" si="14"/>
        <v>0</v>
      </c>
      <c r="N78" s="587">
        <f t="shared" si="14"/>
        <v>0</v>
      </c>
    </row>
    <row r="80" spans="1:16" s="592" customFormat="1" ht="21" customHeight="1">
      <c r="B80" s="594" t="s">
        <v>1510</v>
      </c>
      <c r="E80" s="593"/>
      <c r="F80" s="593"/>
      <c r="G80" s="593"/>
      <c r="H80" s="593"/>
      <c r="I80" s="593"/>
      <c r="J80" s="593"/>
      <c r="K80" s="593"/>
      <c r="L80" s="593"/>
      <c r="M80" s="593"/>
      <c r="N80" s="593"/>
    </row>
    <row r="82" spans="4:15" ht="12.75" customHeight="1">
      <c r="D82" s="628" t="s">
        <v>1519</v>
      </c>
      <c r="E82" s="587">
        <f t="shared" ref="E82:N82" si="15">obalOpsDataCenterValue</f>
        <v>20000000</v>
      </c>
      <c r="F82" s="587">
        <f t="shared" si="15"/>
        <v>20000000</v>
      </c>
      <c r="G82" s="587">
        <f t="shared" si="15"/>
        <v>20000000</v>
      </c>
      <c r="H82" s="587">
        <f t="shared" si="15"/>
        <v>20000000</v>
      </c>
      <c r="I82" s="587">
        <f t="shared" si="15"/>
        <v>20000000</v>
      </c>
      <c r="J82" s="587">
        <f t="shared" si="15"/>
        <v>20000000</v>
      </c>
      <c r="K82" s="587">
        <f t="shared" si="15"/>
        <v>20000000</v>
      </c>
      <c r="L82" s="587">
        <f t="shared" si="15"/>
        <v>20000000</v>
      </c>
      <c r="M82" s="587">
        <f t="shared" si="15"/>
        <v>20000000</v>
      </c>
      <c r="N82" s="587">
        <f t="shared" si="15"/>
        <v>20000000</v>
      </c>
    </row>
    <row r="83" spans="4:15" ht="12.75" customHeight="1">
      <c r="D83" s="628" t="s">
        <v>1520</v>
      </c>
      <c r="E83" s="587">
        <f t="shared" ref="E83:N83" si="16">calcDataCenterCapex</f>
        <v>0</v>
      </c>
      <c r="F83" s="587">
        <f t="shared" si="16"/>
        <v>0</v>
      </c>
      <c r="G83" s="587">
        <f t="shared" si="16"/>
        <v>0</v>
      </c>
      <c r="H83" s="587">
        <f t="shared" si="16"/>
        <v>0</v>
      </c>
      <c r="I83" s="587">
        <f t="shared" si="16"/>
        <v>0</v>
      </c>
      <c r="J83" s="587">
        <f t="shared" si="16"/>
        <v>0</v>
      </c>
      <c r="K83" s="587">
        <f t="shared" si="16"/>
        <v>0</v>
      </c>
      <c r="L83" s="587">
        <f t="shared" si="16"/>
        <v>0</v>
      </c>
      <c r="M83" s="587">
        <f t="shared" si="16"/>
        <v>0</v>
      </c>
      <c r="N83" s="587">
        <f t="shared" si="16"/>
        <v>0</v>
      </c>
    </row>
    <row r="84" spans="4:15" ht="12.75" customHeight="1">
      <c r="D84" s="628" t="s">
        <v>1523</v>
      </c>
      <c r="E84" s="587">
        <f>calcSubscriptions!E349:E349*-1</f>
        <v>-4000000</v>
      </c>
      <c r="F84" s="587">
        <f>calcSubscriptions!F349:F349*-1</f>
        <v>0</v>
      </c>
      <c r="G84" s="587">
        <f>calcSubscriptions!F349:G349*-1</f>
        <v>0</v>
      </c>
      <c r="H84" s="587">
        <f>calcSubscriptions!F349:H349*-1</f>
        <v>0</v>
      </c>
      <c r="I84" s="587">
        <f>calcSubscriptions!F349:I349*-1</f>
        <v>0</v>
      </c>
      <c r="J84" s="587">
        <f>calcSubscriptions!F349:J349*-1</f>
        <v>0</v>
      </c>
      <c r="K84" s="587">
        <f>calcSubscriptions!F349:K349*-1</f>
        <v>0</v>
      </c>
      <c r="L84" s="587">
        <f>calcSubscriptions!F349:L349*-1</f>
        <v>0</v>
      </c>
      <c r="M84" s="587">
        <f>calcSubscriptions!F349:M349*-1</f>
        <v>0</v>
      </c>
      <c r="N84" s="587">
        <f>calcSubscriptions!F349:N349*-1</f>
        <v>0</v>
      </c>
    </row>
    <row r="85" spans="4:15" s="589" customFormat="1" ht="1.5" customHeight="1">
      <c r="D85" s="591"/>
      <c r="E85" s="590"/>
      <c r="F85" s="590"/>
      <c r="G85" s="590"/>
      <c r="H85" s="590"/>
      <c r="I85" s="590"/>
      <c r="J85" s="590"/>
      <c r="K85" s="590"/>
      <c r="L85" s="590"/>
      <c r="M85" s="590"/>
      <c r="N85" s="590"/>
    </row>
    <row r="86" spans="4:15" ht="12.75" customHeight="1">
      <c r="D86" s="628" t="s">
        <v>1521</v>
      </c>
      <c r="E86" s="639">
        <f>SUM(E82:E85)</f>
        <v>16000000</v>
      </c>
      <c r="F86" s="639">
        <f t="shared" ref="F86:N86" si="17">SUM(F82:F85)</f>
        <v>20000000</v>
      </c>
      <c r="G86" s="639">
        <f t="shared" si="17"/>
        <v>20000000</v>
      </c>
      <c r="H86" s="639">
        <f t="shared" si="17"/>
        <v>20000000</v>
      </c>
      <c r="I86" s="639">
        <f t="shared" si="17"/>
        <v>20000000</v>
      </c>
      <c r="J86" s="639">
        <f t="shared" si="17"/>
        <v>20000000</v>
      </c>
      <c r="K86" s="639">
        <f t="shared" si="17"/>
        <v>20000000</v>
      </c>
      <c r="L86" s="639">
        <f t="shared" si="17"/>
        <v>20000000</v>
      </c>
      <c r="M86" s="639">
        <f t="shared" si="17"/>
        <v>20000000</v>
      </c>
      <c r="N86" s="639">
        <f t="shared" si="17"/>
        <v>20000000</v>
      </c>
      <c r="O86" s="628" t="s">
        <v>1522</v>
      </c>
    </row>
  </sheetData>
  <conditionalFormatting sqref="E63:I63">
    <cfRule type="colorScale" priority="3">
      <colorScale>
        <cfvo type="min"/>
        <cfvo type="percentile" val="50"/>
        <cfvo type="max"/>
        <color rgb="FF63BE7B"/>
        <color rgb="FFFFEB84"/>
        <color rgb="FFF8696B"/>
      </colorScale>
    </cfRule>
  </conditionalFormatting>
  <conditionalFormatting sqref="J63:N63">
    <cfRule type="colorScale" priority="2">
      <colorScale>
        <cfvo type="min"/>
        <cfvo type="percentile" val="50"/>
        <cfvo type="max"/>
        <color rgb="FF63BE7B"/>
        <color rgb="FFFFEB84"/>
        <color rgb="FFF8696B"/>
      </colorScale>
    </cfRule>
  </conditionalFormatting>
  <dataValidations count="2">
    <dataValidation type="list" allowBlank="1" showInputMessage="1" showErrorMessage="1" sqref="F33:H33">
      <formula1>"0,1,2,3,4,5"</formula1>
    </dataValidation>
    <dataValidation type="decimal" allowBlank="1" showInputMessage="1" showErrorMessage="1" errorTitle="Percent Capex Investment" error="Please enter a number between 0 and 100%." sqref="E57:N57">
      <formula1>0</formula1>
      <formula2>1</formula2>
    </dataValidation>
  </dataValidations>
  <hyperlinks>
    <hyperlink ref="E8" r:id="rId1"/>
    <hyperlink ref="J8" r:id="rId2"/>
  </hyperlinks>
  <pageMargins left="0.7" right="0.7" top="0.75" bottom="0.75" header="0.3" footer="0.3"/>
  <pageSetup orientation="portrait" r:id="rId3"/>
  <drawing r:id="rId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2"/>
  </sheetPr>
  <dimension ref="A1:M23"/>
  <sheetViews>
    <sheetView workbookViewId="0">
      <selection activeCell="E13" sqref="E13"/>
    </sheetView>
  </sheetViews>
  <sheetFormatPr defaultColWidth="15.26953125" defaultRowHeight="12.75" customHeight="1"/>
  <cols>
    <col min="1" max="2" width="2.36328125" style="372" customWidth="1"/>
    <col min="3" max="3" width="2.7265625" style="372" customWidth="1"/>
    <col min="4" max="4" width="26" style="372" customWidth="1"/>
    <col min="5" max="5" width="14.81640625" style="372" customWidth="1"/>
    <col min="6" max="6" width="20.453125" style="372" customWidth="1"/>
    <col min="7" max="7" width="7.453125" style="372" customWidth="1"/>
    <col min="8" max="8" width="15.26953125" style="943"/>
    <col min="9" max="16384" width="15.26953125" style="372"/>
  </cols>
  <sheetData>
    <row r="1" spans="1:13" s="874" customFormat="1" ht="16.2">
      <c r="A1" s="873" t="s">
        <v>2643</v>
      </c>
      <c r="B1" s="873"/>
      <c r="E1" s="874" t="s">
        <v>7</v>
      </c>
      <c r="G1" s="875"/>
      <c r="H1" s="875"/>
      <c r="I1" s="875"/>
      <c r="J1" s="875"/>
      <c r="L1" s="873"/>
    </row>
    <row r="2" spans="1:13" s="874" customFormat="1" ht="16.2">
      <c r="A2" s="876" t="s">
        <v>2630</v>
      </c>
      <c r="B2" s="873"/>
      <c r="E2" s="874" t="b">
        <f>xxNumOfTeams&gt;0</f>
        <v>1</v>
      </c>
      <c r="F2" s="873" t="s">
        <v>2642</v>
      </c>
      <c r="G2" s="875"/>
      <c r="H2" s="875"/>
      <c r="I2" s="875"/>
      <c r="J2" s="875"/>
      <c r="L2" s="873"/>
    </row>
    <row r="3" spans="1:13" s="284" customFormat="1" ht="13.8">
      <c r="A3" s="372"/>
      <c r="E3" s="366"/>
      <c r="H3" s="911"/>
      <c r="I3" s="680"/>
      <c r="M3" s="683"/>
    </row>
    <row r="4" spans="1:13" s="676" customFormat="1" ht="13.8">
      <c r="B4" s="581" t="s">
        <v>458</v>
      </c>
      <c r="C4" s="677"/>
      <c r="D4" s="677"/>
      <c r="E4" s="678"/>
      <c r="H4" s="580"/>
    </row>
    <row r="5" spans="1:13" s="284" customFormat="1" ht="13.8">
      <c r="A5" s="372"/>
      <c r="E5" s="366"/>
      <c r="H5" s="911"/>
      <c r="I5" s="680"/>
      <c r="M5" s="683"/>
    </row>
    <row r="6" spans="1:13" s="284" customFormat="1" ht="13.8">
      <c r="A6" s="372"/>
      <c r="C6" s="684"/>
      <c r="D6" s="684"/>
      <c r="E6" s="690" t="s">
        <v>7</v>
      </c>
      <c r="H6" s="911"/>
    </row>
    <row r="7" spans="1:13" s="284" customFormat="1" ht="13.8">
      <c r="A7" s="372"/>
      <c r="D7" s="694" t="s">
        <v>1743</v>
      </c>
      <c r="E7" s="714">
        <f t="shared" ref="E7" si="0">decOpsCollabFTEs</f>
        <v>10</v>
      </c>
      <c r="F7" s="715" t="s">
        <v>1744</v>
      </c>
      <c r="H7" s="911"/>
    </row>
    <row r="9" spans="1:13" ht="12.75" customHeight="1">
      <c r="D9" s="721" t="s">
        <v>1745</v>
      </c>
      <c r="E9" s="722">
        <f t="shared" ref="E9" ca="1" si="1">IF(xxRound=0,1,calcCollabKicker)</f>
        <v>0.92</v>
      </c>
      <c r="F9" s="629"/>
    </row>
    <row r="10" spans="1:13" ht="12.75" customHeight="1">
      <c r="D10" s="721"/>
      <c r="E10" s="721"/>
      <c r="F10" s="629"/>
    </row>
    <row r="11" spans="1:13" ht="12.75" customHeight="1">
      <c r="D11" s="720" t="s">
        <v>986</v>
      </c>
      <c r="E11" s="717">
        <f t="shared" ref="E11" si="2">paramChallengeCollaboration</f>
        <v>0</v>
      </c>
      <c r="F11" s="629"/>
    </row>
    <row r="13" spans="1:13" ht="12.75" customHeight="1">
      <c r="D13" s="393" t="s">
        <v>1742</v>
      </c>
      <c r="E13" s="717">
        <f t="shared" ref="E13" ca="1" si="3">ROUND((calcTotalCollabFTEs*calcCollabKicker)+E11,0)</f>
        <v>9</v>
      </c>
      <c r="F13" s="629" t="s">
        <v>1747</v>
      </c>
    </row>
    <row r="15" spans="1:13" s="676" customFormat="1" ht="13.8">
      <c r="B15" s="581" t="s">
        <v>1646</v>
      </c>
      <c r="C15" s="677"/>
      <c r="D15" s="677"/>
      <c r="E15" s="678"/>
      <c r="H15" s="580"/>
    </row>
    <row r="16" spans="1:13" s="284" customFormat="1" ht="13.8">
      <c r="A16" s="372"/>
      <c r="E16" s="366"/>
      <c r="H16" s="911"/>
      <c r="I16" s="680"/>
      <c r="M16" s="683"/>
    </row>
    <row r="17" spans="1:13" s="284" customFormat="1" ht="13.8">
      <c r="A17" s="372"/>
      <c r="C17" s="684"/>
      <c r="D17" s="684"/>
      <c r="E17" s="690" t="s">
        <v>7</v>
      </c>
      <c r="H17" s="911"/>
    </row>
    <row r="18" spans="1:13" s="284" customFormat="1" ht="13.8">
      <c r="A18" s="372"/>
      <c r="D18" s="716" t="s">
        <v>1750</v>
      </c>
      <c r="E18" s="713">
        <f t="shared" ref="E18" si="4">obalCustSuccessRev</f>
        <v>100.785</v>
      </c>
      <c r="F18" s="366"/>
      <c r="H18" s="911"/>
    </row>
    <row r="19" spans="1:13" s="284" customFormat="1" ht="13.8">
      <c r="A19" s="372"/>
      <c r="D19" s="708" t="s">
        <v>3271</v>
      </c>
      <c r="E19" s="710">
        <f t="shared" ref="E19" si="5">(cbalOpsITFTEs-obalOpsITFTEs)*$H19</f>
        <v>0</v>
      </c>
      <c r="H19" s="932">
        <v>0.05</v>
      </c>
    </row>
    <row r="20" spans="1:13" s="284" customFormat="1" ht="13.8">
      <c r="A20" s="372"/>
      <c r="D20" s="708" t="s">
        <v>639</v>
      </c>
      <c r="E20" s="710">
        <f t="shared" ref="E20" si="6">(cbalOpsSupplyChainFTEs-obalOpsSupplyChainFTEs)*$H20</f>
        <v>0</v>
      </c>
      <c r="H20" s="932">
        <v>0.05</v>
      </c>
    </row>
    <row r="21" spans="1:13" s="284" customFormat="1" ht="13.8">
      <c r="A21" s="372"/>
      <c r="D21" s="708" t="str">
        <f>nmProd2Offering1</f>
        <v>Azul Infrastructure</v>
      </c>
      <c r="E21" s="710">
        <f t="shared" ref="E21" si="7">(cbalEGProd2Offering1-obalEGProd2Offering1)*$H21</f>
        <v>0</v>
      </c>
      <c r="H21" s="932">
        <v>0.15</v>
      </c>
    </row>
    <row r="22" spans="1:13" s="689" customFormat="1" ht="2.1" customHeight="1">
      <c r="A22" s="372"/>
      <c r="B22" s="284"/>
      <c r="D22" s="688"/>
      <c r="E22" s="688"/>
      <c r="H22" s="911"/>
      <c r="I22" s="284"/>
      <c r="J22" s="284"/>
      <c r="K22" s="284"/>
      <c r="L22" s="284"/>
      <c r="M22" s="284"/>
    </row>
    <row r="23" spans="1:13" s="284" customFormat="1" ht="13.8">
      <c r="A23" s="372"/>
      <c r="D23" s="694" t="s">
        <v>493</v>
      </c>
      <c r="E23" s="714">
        <f t="shared" ref="E23" si="8">IF(xxRound=0,E18,SUM(E18:E21))</f>
        <v>100.785</v>
      </c>
      <c r="F23" s="715" t="s">
        <v>1752</v>
      </c>
      <c r="H23" s="9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2"/>
  </sheetPr>
  <dimension ref="A1:M336"/>
  <sheetViews>
    <sheetView workbookViewId="0"/>
  </sheetViews>
  <sheetFormatPr defaultColWidth="7.453125" defaultRowHeight="19.2"/>
  <cols>
    <col min="1" max="1" width="7.1796875" style="540" customWidth="1"/>
    <col min="2" max="2" width="29.90625" style="540" bestFit="1" customWidth="1"/>
    <col min="3" max="4" width="7.453125" style="540" customWidth="1"/>
    <col min="5" max="5" width="15" style="554" bestFit="1" customWidth="1"/>
    <col min="6" max="6" width="11.453125" style="560" bestFit="1" customWidth="1"/>
    <col min="7" max="16384" width="7.453125" style="540"/>
  </cols>
  <sheetData>
    <row r="1" spans="1:13" s="1013" customFormat="1">
      <c r="A1" s="1012" t="s">
        <v>1810</v>
      </c>
      <c r="B1" s="1012"/>
      <c r="E1" s="1013" t="s">
        <v>7</v>
      </c>
      <c r="G1" s="1014"/>
      <c r="H1" s="1014"/>
      <c r="I1" s="1014"/>
      <c r="J1" s="1014"/>
      <c r="L1" s="1012"/>
    </row>
    <row r="2" spans="1:13" s="1013" customFormat="1">
      <c r="A2" s="1015" t="s">
        <v>2630</v>
      </c>
      <c r="B2" s="1012"/>
      <c r="E2" s="1013" t="b">
        <f>xxNumOfTeams&gt;0</f>
        <v>1</v>
      </c>
      <c r="F2" s="1012" t="s">
        <v>2644</v>
      </c>
      <c r="G2" s="1014"/>
      <c r="H2" s="1014"/>
      <c r="I2" s="1014"/>
      <c r="J2" s="1014"/>
      <c r="L2" s="1012"/>
    </row>
    <row r="3" spans="1:13" s="1017" customFormat="1" ht="16.8">
      <c r="A3" s="1016"/>
      <c r="E3" s="1018"/>
      <c r="I3" s="1019"/>
      <c r="M3" s="1020"/>
    </row>
    <row r="4" spans="1:13" s="1022" customFormat="1">
      <c r="A4" s="1021"/>
      <c r="B4" s="1021" t="s">
        <v>982</v>
      </c>
      <c r="F4" s="1023"/>
    </row>
    <row r="5" spans="1:13">
      <c r="C5" s="541"/>
      <c r="D5" s="541"/>
      <c r="E5" s="541"/>
      <c r="F5" s="1024"/>
      <c r="G5" s="541"/>
      <c r="H5" s="541"/>
      <c r="I5" s="541"/>
      <c r="J5" s="541"/>
      <c r="K5" s="541"/>
      <c r="L5" s="541"/>
    </row>
    <row r="6" spans="1:13">
      <c r="B6" s="540" t="s">
        <v>358</v>
      </c>
      <c r="C6" s="1025" t="s">
        <v>382</v>
      </c>
      <c r="E6" s="1025"/>
      <c r="F6" s="1025"/>
      <c r="G6" s="1026"/>
      <c r="H6" s="1026"/>
      <c r="I6" s="1026"/>
      <c r="K6" s="1026"/>
      <c r="L6" s="1026"/>
    </row>
    <row r="7" spans="1:13">
      <c r="E7" s="540"/>
    </row>
    <row r="8" spans="1:13" s="1028" customFormat="1">
      <c r="A8" s="1027"/>
      <c r="B8" s="1028" t="s">
        <v>356</v>
      </c>
      <c r="F8" s="1027"/>
      <c r="G8" s="1029"/>
      <c r="H8" s="1029"/>
      <c r="I8" s="1029"/>
      <c r="K8" s="1029"/>
      <c r="L8" s="1029"/>
      <c r="M8" s="1029"/>
    </row>
    <row r="9" spans="1:13">
      <c r="E9" s="540"/>
    </row>
    <row r="10" spans="1:13">
      <c r="B10" s="547" t="s">
        <v>383</v>
      </c>
      <c r="C10" s="547"/>
      <c r="D10" s="547"/>
      <c r="E10" s="547"/>
      <c r="G10" s="547" t="s">
        <v>384</v>
      </c>
    </row>
    <row r="11" spans="1:13">
      <c r="B11" s="549"/>
      <c r="C11" s="1030" t="s">
        <v>385</v>
      </c>
      <c r="E11" s="540"/>
      <c r="G11" s="551"/>
      <c r="H11" s="1030" t="s">
        <v>386</v>
      </c>
    </row>
    <row r="12" spans="1:13">
      <c r="B12" s="1031"/>
      <c r="C12" s="1030" t="s">
        <v>354</v>
      </c>
      <c r="E12" s="540"/>
    </row>
    <row r="13" spans="1:13">
      <c r="B13" s="1032"/>
      <c r="C13" s="1030" t="s">
        <v>387</v>
      </c>
      <c r="E13" s="540"/>
    </row>
    <row r="15" spans="1:13" s="1028" customFormat="1" ht="18.75" customHeight="1">
      <c r="A15" s="1027"/>
      <c r="B15" s="1033" t="str">
        <f>nmProd1Seg1</f>
        <v>Productivity &amp; Business Enterprise</v>
      </c>
      <c r="F15" s="1027"/>
      <c r="G15" s="1029"/>
      <c r="H15" s="1029"/>
      <c r="I15" s="1029"/>
      <c r="K15" s="1029"/>
      <c r="L15" s="1029"/>
      <c r="M15" s="1029"/>
    </row>
    <row r="17" spans="1:6">
      <c r="A17" s="1034" t="s">
        <v>1822</v>
      </c>
    </row>
    <row r="18" spans="1:6">
      <c r="B18" s="1035" t="s">
        <v>1796</v>
      </c>
      <c r="E18" s="1036">
        <f t="shared" ref="E18" si="0">(finPNLProd1Seg1TotalRev-finPNLProd1Seg1NonCloudRev)/finPNLTotalRev</f>
        <v>8.3535113423933285E-2</v>
      </c>
    </row>
    <row r="19" spans="1:6">
      <c r="B19" s="1035" t="s">
        <v>1797</v>
      </c>
      <c r="E19" s="1036">
        <f t="shared" ref="E19" si="1">finPNLProd1Seg1NonCloudRev/finPNLTotalRev</f>
        <v>3.9369004847013292E-2</v>
      </c>
    </row>
    <row r="20" spans="1:6">
      <c r="B20" s="1035" t="str">
        <f>nmSeg1&amp;" % of "&amp;nmProd1&amp;" Revenue"</f>
        <v>Enterprise % of Productivity &amp; Business Revenue</v>
      </c>
      <c r="E20" s="1037">
        <f t="shared" ref="E20" si="2">finPNLProd1Seg1TotalRev/finPNLTotalProd1Rev</f>
        <v>0.37662224561560242</v>
      </c>
    </row>
    <row r="21" spans="1:6">
      <c r="B21" s="1035" t="str">
        <f>nmSeg1&amp;" % of Total Revenue"</f>
        <v>Enterprise % of Total Revenue</v>
      </c>
      <c r="E21" s="1037">
        <f t="shared" ref="E21" si="3">finPNLProd1Seg1TotalRev/finPNLTotalRev</f>
        <v>0.12290411827094656</v>
      </c>
    </row>
    <row r="23" spans="1:6">
      <c r="A23" s="1034" t="s">
        <v>1798</v>
      </c>
      <c r="B23" s="547"/>
    </row>
    <row r="24" spans="1:6">
      <c r="A24" s="1038"/>
      <c r="B24" s="547" t="s">
        <v>1755</v>
      </c>
      <c r="C24" s="547"/>
      <c r="D24" s="547"/>
      <c r="E24" s="1039">
        <f t="shared" ref="E24" si="4">1/(1-cbalProd1Seg1RenRate)</f>
        <v>3.2252219851609438</v>
      </c>
      <c r="F24" s="560" t="s">
        <v>1799</v>
      </c>
    </row>
    <row r="26" spans="1:6">
      <c r="A26" s="1034" t="s">
        <v>1800</v>
      </c>
      <c r="B26" s="547"/>
    </row>
    <row r="27" spans="1:6">
      <c r="A27" s="1038"/>
      <c r="B27" s="547" t="s">
        <v>1755</v>
      </c>
      <c r="C27" s="547"/>
      <c r="D27" s="547"/>
      <c r="E27" s="1039">
        <f t="shared" ref="E27" si="5">paramProd1NonCloudLifetime</f>
        <v>2</v>
      </c>
      <c r="F27" s="560" t="s">
        <v>1801</v>
      </c>
    </row>
    <row r="28" spans="1:6">
      <c r="A28" s="1038"/>
    </row>
    <row r="29" spans="1:6">
      <c r="A29" s="1034" t="s">
        <v>1802</v>
      </c>
      <c r="B29" s="547"/>
    </row>
    <row r="30" spans="1:6">
      <c r="B30" s="540" t="s">
        <v>1756</v>
      </c>
      <c r="E30" s="1040">
        <f t="shared" ref="E30" si="6">finPNLProd1Seg1NewRev+finPNLProd1Seg1RenewalRev+finPNLProd1Seg1ServicesRev+finPNLProd1Seg1RevFromDef</f>
        <v>90467186.300062612</v>
      </c>
    </row>
    <row r="31" spans="1:6">
      <c r="B31" s="540" t="s">
        <v>1783</v>
      </c>
      <c r="E31" s="1040">
        <f t="shared" ref="E31" si="7">finPNLProd1Seg1NewCOGS+finPNLProd1Seg1RenewalCOGS+finPNLProd1Seg1ServicesCOGS</f>
        <v>18782583.863429744</v>
      </c>
    </row>
    <row r="32" spans="1:6">
      <c r="B32" s="540" t="s">
        <v>208</v>
      </c>
      <c r="E32" s="1040">
        <f>E30-E31</f>
        <v>71684602.436632872</v>
      </c>
    </row>
    <row r="33" spans="1:6">
      <c r="E33" s="1041"/>
    </row>
    <row r="34" spans="1:6">
      <c r="B34" s="540" t="s">
        <v>1784</v>
      </c>
      <c r="E34" s="1042">
        <f t="shared" ref="E34" si="8">1+paramWACC</f>
        <v>1.115</v>
      </c>
    </row>
    <row r="35" spans="1:6">
      <c r="E35" s="1043"/>
    </row>
    <row r="36" spans="1:6">
      <c r="B36" s="547" t="s">
        <v>1791</v>
      </c>
      <c r="E36" s="1040">
        <f>E32/E34</f>
        <v>64291123.261554144</v>
      </c>
      <c r="F36" s="560" t="s">
        <v>1803</v>
      </c>
    </row>
    <row r="37" spans="1:6">
      <c r="A37" s="1038"/>
    </row>
    <row r="38" spans="1:6">
      <c r="A38" s="1034" t="s">
        <v>1807</v>
      </c>
      <c r="B38" s="547"/>
    </row>
    <row r="39" spans="1:6">
      <c r="B39" s="540" t="s">
        <v>1805</v>
      </c>
      <c r="E39" s="1040">
        <f t="shared" ref="E39" si="9">finPNLProd1Seg1NonCloudRev</f>
        <v>42636000</v>
      </c>
    </row>
    <row r="40" spans="1:6">
      <c r="B40" s="540" t="s">
        <v>1806</v>
      </c>
      <c r="E40" s="1040">
        <f t="shared" ref="E40" si="10">finPNLProd1Seg1NonCloudCOGS</f>
        <v>3837239.9999999995</v>
      </c>
    </row>
    <row r="41" spans="1:6">
      <c r="B41" s="540" t="s">
        <v>1075</v>
      </c>
      <c r="E41" s="1040">
        <f t="shared" ref="E41" si="11">finPNLServicesSalaryExp*E21</f>
        <v>2458082.3654189315</v>
      </c>
      <c r="F41" s="560" t="s">
        <v>2129</v>
      </c>
    </row>
    <row r="42" spans="1:6">
      <c r="B42" s="540" t="s">
        <v>208</v>
      </c>
      <c r="E42" s="1040">
        <f>SUM(E39:E41)</f>
        <v>48931322.365418933</v>
      </c>
    </row>
    <row r="43" spans="1:6">
      <c r="E43" s="1041"/>
    </row>
    <row r="44" spans="1:6">
      <c r="B44" s="540" t="s">
        <v>1784</v>
      </c>
      <c r="E44" s="1042">
        <f t="shared" ref="E44" si="12">1+paramWACC</f>
        <v>1.115</v>
      </c>
    </row>
    <row r="45" spans="1:6">
      <c r="E45" s="1043"/>
    </row>
    <row r="46" spans="1:6">
      <c r="B46" s="547" t="s">
        <v>1791</v>
      </c>
      <c r="E46" s="1040">
        <f>E42/E44</f>
        <v>43884594.049703076</v>
      </c>
      <c r="F46" s="560" t="s">
        <v>1804</v>
      </c>
    </row>
    <row r="48" spans="1:6">
      <c r="A48" s="1034" t="s">
        <v>1785</v>
      </c>
      <c r="B48" s="547"/>
    </row>
    <row r="49" spans="1:13">
      <c r="B49" s="1044" t="s">
        <v>1792</v>
      </c>
      <c r="E49" s="1040">
        <f t="shared" ref="E49" si="13">calcOpsCommercialProd1MarketingBudget*E20</f>
        <v>124285.34105314882</v>
      </c>
      <c r="F49" s="560" t="s">
        <v>2105</v>
      </c>
    </row>
    <row r="50" spans="1:13">
      <c r="B50" s="1044" t="s">
        <v>1073</v>
      </c>
      <c r="E50" s="1040">
        <f t="shared" ref="E50" si="14">finPNLDirectSalesSalaryExp*E21</f>
        <v>5407781.2039216487</v>
      </c>
      <c r="F50" s="560" t="s">
        <v>2106</v>
      </c>
    </row>
    <row r="51" spans="1:13">
      <c r="B51" s="1044" t="s">
        <v>1587</v>
      </c>
      <c r="E51" s="1040">
        <f t="shared" ref="E51" si="15">finPNLPartnerSalaryExp*E21</f>
        <v>0</v>
      </c>
      <c r="F51" s="560" t="s">
        <v>2107</v>
      </c>
    </row>
    <row r="52" spans="1:13">
      <c r="A52" s="1034"/>
      <c r="B52" s="1045" t="s">
        <v>1793</v>
      </c>
      <c r="E52" s="1046">
        <f t="shared" ref="E52" si="16">SUM(E49:E51)</f>
        <v>5532066.5449747974</v>
      </c>
      <c r="F52" s="560" t="s">
        <v>1808</v>
      </c>
    </row>
    <row r="54" spans="1:13">
      <c r="A54" s="1034" t="s">
        <v>1809</v>
      </c>
    </row>
    <row r="55" spans="1:13">
      <c r="B55" s="540" t="s">
        <v>418</v>
      </c>
      <c r="E55" s="1040">
        <f t="shared" ref="E55" si="17">(calcProd1Seg1CloudCustLifetime*(calcProd1Seg1CloudCostToServe))</f>
        <v>207353144.1938566</v>
      </c>
      <c r="F55" s="560" t="s">
        <v>1811</v>
      </c>
    </row>
    <row r="56" spans="1:13">
      <c r="B56" s="540" t="s">
        <v>1647</v>
      </c>
      <c r="E56" s="1040">
        <f t="shared" ref="E56" si="18">(calcProd1Seg1NonCloudCustLifetime*calcProd1Seg1NonCloudCostToServe)</f>
        <v>87769188.099406153</v>
      </c>
      <c r="F56" s="560" t="s">
        <v>1812</v>
      </c>
    </row>
    <row r="57" spans="1:13">
      <c r="B57" s="540" t="s">
        <v>1785</v>
      </c>
      <c r="E57" s="1040">
        <f t="shared" ref="E57" si="19">calcProd1Seg2CostToAcquire</f>
        <v>4259054.0744329654</v>
      </c>
    </row>
    <row r="58" spans="1:13">
      <c r="B58" s="547" t="s">
        <v>1809</v>
      </c>
      <c r="E58" s="1046">
        <f>E55+E56-E57</f>
        <v>290863278.21882975</v>
      </c>
      <c r="F58" s="560" t="s">
        <v>1813</v>
      </c>
    </row>
    <row r="59" spans="1:13">
      <c r="B59" s="547"/>
      <c r="E59" s="1047"/>
    </row>
    <row r="60" spans="1:13" s="1028" customFormat="1" ht="18.75" customHeight="1">
      <c r="A60" s="1027"/>
      <c r="B60" s="1033" t="str">
        <f>nmProd1Seg2</f>
        <v>Productivity &amp; Business SMC</v>
      </c>
      <c r="F60" s="1027"/>
      <c r="G60" s="1029"/>
      <c r="H60" s="1029"/>
      <c r="I60" s="1029"/>
      <c r="K60" s="1029"/>
      <c r="L60" s="1029"/>
      <c r="M60" s="1029"/>
    </row>
    <row r="62" spans="1:13">
      <c r="A62" s="1034" t="s">
        <v>1822</v>
      </c>
    </row>
    <row r="63" spans="1:13">
      <c r="B63" s="1035" t="s">
        <v>1796</v>
      </c>
      <c r="E63" s="1036">
        <f t="shared" ref="E63" si="20">(finPNLProd1Seg2TotalRev-finPNLProd1Seg2NonCloudRev)/finPNLTotalRev</f>
        <v>7.001638734784689E-2</v>
      </c>
    </row>
    <row r="64" spans="1:13">
      <c r="B64" s="1035" t="s">
        <v>1797</v>
      </c>
      <c r="E64" s="1036">
        <f t="shared" ref="E64" si="21">finPNLProd1Seg2NonCloudRev/finPNLTotalRev</f>
        <v>2.4605628029383309E-2</v>
      </c>
    </row>
    <row r="65" spans="1:6">
      <c r="B65" s="1035" t="str">
        <f>nmSeg2&amp;" % of "&amp;nmProd1&amp;" Revenue"</f>
        <v>SMC % of Productivity &amp; Business Revenue</v>
      </c>
      <c r="E65" s="1037">
        <f t="shared" ref="E65" si="22">finPNLProd1Seg2TotalRev/finPNLTotalProd1Rev</f>
        <v>0.28995575101465665</v>
      </c>
    </row>
    <row r="66" spans="1:6">
      <c r="B66" s="1035" t="str">
        <f>nmSeg2&amp;" % of Total Revenue"</f>
        <v>SMC % of Total Revenue</v>
      </c>
      <c r="E66" s="1037">
        <f t="shared" ref="E66" si="23">finPNLProd1Seg2TotalRev/finPNLTotalRev</f>
        <v>9.4622015377230195E-2</v>
      </c>
    </row>
    <row r="68" spans="1:6">
      <c r="A68" s="1034" t="s">
        <v>1798</v>
      </c>
      <c r="B68" s="547"/>
    </row>
    <row r="69" spans="1:6">
      <c r="A69" s="1038"/>
      <c r="B69" s="547" t="s">
        <v>1755</v>
      </c>
      <c r="C69" s="547"/>
      <c r="D69" s="547"/>
      <c r="E69" s="1039">
        <f t="shared" ref="E69" si="24">1/(1-cbalProd1Seg2RenRate)</f>
        <v>3.2252219851609438</v>
      </c>
      <c r="F69" s="560" t="s">
        <v>1814</v>
      </c>
    </row>
    <row r="71" spans="1:6">
      <c r="A71" s="1034" t="s">
        <v>1800</v>
      </c>
      <c r="B71" s="547"/>
    </row>
    <row r="72" spans="1:6">
      <c r="A72" s="1038"/>
      <c r="B72" s="547" t="s">
        <v>1755</v>
      </c>
      <c r="C72" s="547"/>
      <c r="D72" s="547"/>
      <c r="E72" s="1039">
        <f t="shared" ref="E72" si="25">paramProd1NonCloudLifetime</f>
        <v>2</v>
      </c>
      <c r="F72" s="560" t="s">
        <v>1815</v>
      </c>
    </row>
    <row r="73" spans="1:6">
      <c r="A73" s="1038"/>
    </row>
    <row r="74" spans="1:6">
      <c r="A74" s="1034" t="s">
        <v>1802</v>
      </c>
      <c r="B74" s="547"/>
    </row>
    <row r="75" spans="1:6">
      <c r="B75" s="540" t="s">
        <v>1756</v>
      </c>
      <c r="E75" s="1040">
        <f t="shared" ref="E75" si="26">finPNLProd1Seg2NewRev+finPNLProd1Seg2RenewalRev+finPNLProd1Seg2ServicesRev+finPNLProd1Seg2RevFromDef</f>
        <v>75826623.064597785</v>
      </c>
    </row>
    <row r="76" spans="1:6">
      <c r="B76" s="540" t="s">
        <v>1783</v>
      </c>
      <c r="E76" s="1040">
        <f t="shared" ref="E76" si="27">finPNLProd1Seg2NewCOGS+finPNLProd1Seg2RenewalCOGS+finPNLProd1Seg2ServicesCOGS</f>
        <v>17828333.214062825</v>
      </c>
    </row>
    <row r="77" spans="1:6">
      <c r="B77" s="560" t="s">
        <v>1075</v>
      </c>
      <c r="E77" s="1040">
        <f t="shared" ref="E77" si="28">finPNLServicesSalaryExp*E66</f>
        <v>1892440.3075446039</v>
      </c>
      <c r="F77" s="560" t="s">
        <v>2130</v>
      </c>
    </row>
    <row r="78" spans="1:6">
      <c r="B78" s="540" t="s">
        <v>208</v>
      </c>
      <c r="E78" s="1040">
        <f>E75-E76-E77</f>
        <v>56105849.542990357</v>
      </c>
    </row>
    <row r="79" spans="1:6">
      <c r="E79" s="1041"/>
    </row>
    <row r="80" spans="1:6">
      <c r="B80" s="540" t="s">
        <v>1784</v>
      </c>
      <c r="E80" s="1042">
        <f t="shared" ref="E80" si="29">1+paramWACC</f>
        <v>1.115</v>
      </c>
    </row>
    <row r="81" spans="1:6">
      <c r="E81" s="1043"/>
    </row>
    <row r="82" spans="1:6">
      <c r="B82" s="547" t="s">
        <v>1791</v>
      </c>
      <c r="E82" s="1040">
        <f>E78/E80</f>
        <v>50319147.572188661</v>
      </c>
      <c r="F82" s="560" t="s">
        <v>1816</v>
      </c>
    </row>
    <row r="83" spans="1:6">
      <c r="A83" s="1038"/>
    </row>
    <row r="84" spans="1:6">
      <c r="A84" s="1034" t="s">
        <v>1807</v>
      </c>
      <c r="B84" s="547"/>
    </row>
    <row r="85" spans="1:6">
      <c r="B85" s="540" t="s">
        <v>1805</v>
      </c>
      <c r="E85" s="1040">
        <f t="shared" ref="E85" si="30">finPNLProd1Seg2NonCloudRev</f>
        <v>26647500.000000004</v>
      </c>
    </row>
    <row r="86" spans="1:6">
      <c r="B86" s="540" t="s">
        <v>1806</v>
      </c>
      <c r="E86" s="1040">
        <f t="shared" ref="E86" si="31">finPNLProd1Seg2NonCloudCOGS</f>
        <v>2398275</v>
      </c>
    </row>
    <row r="87" spans="1:6">
      <c r="B87" s="540" t="s">
        <v>208</v>
      </c>
      <c r="E87" s="1040">
        <f>E85-E86</f>
        <v>24249225.000000004</v>
      </c>
    </row>
    <row r="88" spans="1:6">
      <c r="E88" s="1041"/>
    </row>
    <row r="89" spans="1:6">
      <c r="B89" s="540" t="s">
        <v>1784</v>
      </c>
      <c r="E89" s="1042">
        <f t="shared" ref="E89" si="32">1+paramWACC</f>
        <v>1.115</v>
      </c>
    </row>
    <row r="90" spans="1:6">
      <c r="E90" s="1043"/>
    </row>
    <row r="91" spans="1:6">
      <c r="B91" s="547" t="s">
        <v>1791</v>
      </c>
      <c r="E91" s="1040">
        <f>E87/E89</f>
        <v>21748183.856502246</v>
      </c>
      <c r="F91" s="560" t="s">
        <v>1817</v>
      </c>
    </row>
    <row r="93" spans="1:6">
      <c r="A93" s="1034" t="s">
        <v>1785</v>
      </c>
      <c r="B93" s="547"/>
    </row>
    <row r="94" spans="1:6">
      <c r="B94" s="1044" t="s">
        <v>1792</v>
      </c>
      <c r="E94" s="1040">
        <f t="shared" ref="E94" si="33">calcOpsCommercialProd1MarketingBudget*E65</f>
        <v>95685.397834836709</v>
      </c>
      <c r="F94" s="560" t="s">
        <v>2108</v>
      </c>
    </row>
    <row r="95" spans="1:6">
      <c r="B95" s="1044" t="s">
        <v>1073</v>
      </c>
      <c r="E95" s="1040">
        <f t="shared" ref="E95" si="34">finPNLDirectSalesSalaryExp*E66</f>
        <v>4163368.6765981284</v>
      </c>
      <c r="F95" s="560" t="s">
        <v>2109</v>
      </c>
    </row>
    <row r="96" spans="1:6">
      <c r="B96" s="1044" t="s">
        <v>1587</v>
      </c>
      <c r="E96" s="1040">
        <f t="shared" ref="E96" si="35">finPNLPartnerSalaryExp*E66</f>
        <v>0</v>
      </c>
      <c r="F96" s="560" t="s">
        <v>2110</v>
      </c>
    </row>
    <row r="97" spans="1:13">
      <c r="A97" s="1034"/>
      <c r="B97" s="1045" t="s">
        <v>1793</v>
      </c>
      <c r="E97" s="1046">
        <f t="shared" ref="E97" si="36">SUM(E94:E96)</f>
        <v>4259054.0744329654</v>
      </c>
      <c r="F97" s="560" t="s">
        <v>1818</v>
      </c>
    </row>
    <row r="99" spans="1:13">
      <c r="A99" s="1034" t="s">
        <v>1809</v>
      </c>
    </row>
    <row r="100" spans="1:13">
      <c r="B100" s="540" t="s">
        <v>418</v>
      </c>
      <c r="E100" s="1040">
        <f t="shared" ref="E100" si="37">(calcProd1Seg2CloudCustLifetime*(calcProd1Seg2CloudCostToServe))</f>
        <v>162290421.0243808</v>
      </c>
      <c r="F100" s="560" t="s">
        <v>1819</v>
      </c>
    </row>
    <row r="101" spans="1:13">
      <c r="B101" s="540" t="s">
        <v>1647</v>
      </c>
      <c r="E101" s="1040">
        <f t="shared" ref="E101" si="38">(calcProd1Seg2NonCloudCustLifetime*calcProd1Seg2NonCloudCostToServe)</f>
        <v>43496367.713004492</v>
      </c>
      <c r="F101" s="560" t="s">
        <v>1820</v>
      </c>
    </row>
    <row r="102" spans="1:13">
      <c r="B102" s="540" t="s">
        <v>1785</v>
      </c>
      <c r="E102" s="1040">
        <f t="shared" ref="E102" si="39">calcProd1Seg2CostToAcquire</f>
        <v>4259054.0744329654</v>
      </c>
    </row>
    <row r="103" spans="1:13">
      <c r="B103" s="547" t="s">
        <v>1809</v>
      </c>
      <c r="E103" s="1046">
        <f>E100+E101-E102</f>
        <v>201527734.66295233</v>
      </c>
      <c r="F103" s="560" t="s">
        <v>1821</v>
      </c>
    </row>
    <row r="104" spans="1:13">
      <c r="B104" s="547"/>
      <c r="E104" s="1047"/>
    </row>
    <row r="105" spans="1:13" s="1028" customFormat="1" ht="18.75" customHeight="1">
      <c r="A105" s="1027"/>
      <c r="B105" s="1033" t="str">
        <f>nmProd1Seg3</f>
        <v>Productivity &amp; Business Consumer</v>
      </c>
      <c r="F105" s="1027"/>
      <c r="G105" s="1029"/>
      <c r="H105" s="1029"/>
      <c r="I105" s="1029"/>
      <c r="K105" s="1029"/>
      <c r="L105" s="1029"/>
      <c r="M105" s="1029"/>
    </row>
    <row r="107" spans="1:13">
      <c r="A107" s="1034" t="s">
        <v>1822</v>
      </c>
    </row>
    <row r="108" spans="1:13">
      <c r="B108" s="1035" t="s">
        <v>1796</v>
      </c>
      <c r="E108" s="1036">
        <f t="shared" ref="E108" si="40">(finPNLProd1Seg3TotalRev-finPNLProd1Seg3NonCloudRev)/finPNLTotalRev</f>
        <v>0.10880647070995254</v>
      </c>
    </row>
    <row r="109" spans="1:13">
      <c r="B109" s="1035" t="s">
        <v>1797</v>
      </c>
      <c r="E109" s="1036">
        <f t="shared" ref="E109" si="41">finPNLProd1Seg3NonCloudRev/finPNLTotalRev</f>
        <v>0</v>
      </c>
    </row>
    <row r="110" spans="1:13">
      <c r="B110" s="1035" t="str">
        <f>nmSeg3&amp;" % of "&amp;nmProd1&amp;" Revenue"</f>
        <v>Consumer % of Productivity &amp; Business Revenue</v>
      </c>
      <c r="E110" s="1037">
        <f t="shared" ref="E110" si="42">finPNLProd1Seg3TotalRev/finPNLTotalProd1Rev</f>
        <v>0.33342200336974104</v>
      </c>
    </row>
    <row r="111" spans="1:13">
      <c r="B111" s="1035" t="str">
        <f>nmSeg3&amp;" % of Total Revenue"</f>
        <v>Consumer % of Total Revenue</v>
      </c>
      <c r="E111" s="1037">
        <f t="shared" ref="E111" si="43">finPNLProd1Seg3TotalRev/finPNLTotalRev</f>
        <v>0.10880647070995254</v>
      </c>
    </row>
    <row r="113" spans="1:6">
      <c r="A113" s="1034" t="s">
        <v>1798</v>
      </c>
      <c r="B113" s="547"/>
    </row>
    <row r="114" spans="1:6">
      <c r="A114" s="1038"/>
      <c r="B114" s="547" t="s">
        <v>1755</v>
      </c>
      <c r="C114" s="547"/>
      <c r="D114" s="547"/>
      <c r="E114" s="1039">
        <f t="shared" ref="E114" si="44">1/(1-cbalProd1Seg3RenRate)</f>
        <v>3.2252219851609438</v>
      </c>
      <c r="F114" s="560" t="s">
        <v>1823</v>
      </c>
    </row>
    <row r="116" spans="1:6">
      <c r="A116" s="1034" t="s">
        <v>1800</v>
      </c>
      <c r="B116" s="547"/>
    </row>
    <row r="117" spans="1:6">
      <c r="A117" s="1038"/>
      <c r="B117" s="547" t="s">
        <v>1755</v>
      </c>
      <c r="C117" s="547"/>
      <c r="D117" s="547"/>
      <c r="E117" s="1039">
        <f t="shared" ref="E117" si="45">paramProd1NonCloudLifetime</f>
        <v>2</v>
      </c>
      <c r="F117" s="560" t="s">
        <v>1824</v>
      </c>
    </row>
    <row r="118" spans="1:6">
      <c r="A118" s="1038"/>
    </row>
    <row r="119" spans="1:6">
      <c r="A119" s="1034" t="s">
        <v>1802</v>
      </c>
      <c r="B119" s="547"/>
    </row>
    <row r="120" spans="1:6">
      <c r="B120" s="540" t="s">
        <v>1756</v>
      </c>
      <c r="E120" s="1040">
        <f t="shared" ref="E120" si="46">finPNLProd1Seg3NewRev+finPNLProd1Seg3RenewalRev+finPNLProd1Seg3RevFromDef</f>
        <v>117835660.39367332</v>
      </c>
    </row>
    <row r="121" spans="1:6">
      <c r="B121" s="540" t="s">
        <v>1783</v>
      </c>
      <c r="E121" s="1040">
        <f t="shared" ref="E121" si="47">finPNLProd1Seg3NewCOGS+finPNLProd1Seg3RenewalCOGS</f>
        <v>19920750.631936204</v>
      </c>
    </row>
    <row r="122" spans="1:6">
      <c r="B122" s="560" t="s">
        <v>1075</v>
      </c>
      <c r="E122" s="1040">
        <f t="shared" ref="E122" si="48">finPNLServicesSalaryExp*E111</f>
        <v>2176129.414199051</v>
      </c>
      <c r="F122" s="560" t="s">
        <v>2131</v>
      </c>
    </row>
    <row r="123" spans="1:6">
      <c r="B123" s="540" t="s">
        <v>208</v>
      </c>
      <c r="E123" s="1040">
        <f>E120-E121-E122</f>
        <v>95738780.347538054</v>
      </c>
    </row>
    <row r="124" spans="1:6">
      <c r="E124" s="1041"/>
    </row>
    <row r="125" spans="1:6">
      <c r="B125" s="540" t="s">
        <v>1784</v>
      </c>
      <c r="E125" s="1042">
        <f t="shared" ref="E125" si="49">1+paramWACC</f>
        <v>1.115</v>
      </c>
    </row>
    <row r="126" spans="1:6">
      <c r="E126" s="1043"/>
    </row>
    <row r="127" spans="1:6">
      <c r="B127" s="547" t="s">
        <v>1791</v>
      </c>
      <c r="E127" s="1040">
        <f>E123/E125</f>
        <v>85864376.993307665</v>
      </c>
      <c r="F127" s="560" t="s">
        <v>1825</v>
      </c>
    </row>
    <row r="128" spans="1:6">
      <c r="A128" s="1038"/>
    </row>
    <row r="129" spans="1:6">
      <c r="A129" s="1034" t="s">
        <v>1807</v>
      </c>
      <c r="B129" s="547"/>
    </row>
    <row r="130" spans="1:6">
      <c r="B130" s="540" t="s">
        <v>1805</v>
      </c>
      <c r="E130" s="1040">
        <f t="shared" ref="E130" si="50">finPNLProd1Seg3NonCloudRev</f>
        <v>0</v>
      </c>
    </row>
    <row r="131" spans="1:6">
      <c r="B131" s="540" t="s">
        <v>1806</v>
      </c>
      <c r="E131" s="1040">
        <f t="shared" ref="E131" si="51">finPNLProd1Seg3NonCloudCOGS</f>
        <v>0</v>
      </c>
    </row>
    <row r="132" spans="1:6">
      <c r="B132" s="540" t="s">
        <v>208</v>
      </c>
      <c r="E132" s="1040">
        <f t="shared" ref="E132" si="52">E130-E131</f>
        <v>0</v>
      </c>
    </row>
    <row r="133" spans="1:6">
      <c r="E133" s="1041"/>
    </row>
    <row r="134" spans="1:6">
      <c r="B134" s="540" t="s">
        <v>1784</v>
      </c>
      <c r="E134" s="1042">
        <f t="shared" ref="E134" si="53">1+paramWACC</f>
        <v>1.115</v>
      </c>
    </row>
    <row r="135" spans="1:6">
      <c r="E135" s="1043"/>
    </row>
    <row r="136" spans="1:6">
      <c r="B136" s="547" t="s">
        <v>1791</v>
      </c>
      <c r="E136" s="1040">
        <f>E132/E134</f>
        <v>0</v>
      </c>
      <c r="F136" s="560" t="s">
        <v>1826</v>
      </c>
    </row>
    <row r="138" spans="1:6">
      <c r="A138" s="1034" t="s">
        <v>1785</v>
      </c>
      <c r="B138" s="547"/>
    </row>
    <row r="139" spans="1:6">
      <c r="B139" s="1044" t="s">
        <v>1792</v>
      </c>
      <c r="E139" s="1040">
        <f t="shared" ref="E139" si="54">calcOpsCommercialProd1MarketingBudget*E110</f>
        <v>110029.26111201456</v>
      </c>
      <c r="F139" s="560" t="s">
        <v>2111</v>
      </c>
    </row>
    <row r="140" spans="1:6">
      <c r="B140" s="1044" t="s">
        <v>1073</v>
      </c>
      <c r="E140" s="1040">
        <f t="shared" ref="E140" si="55">finPNLDirectSalesSalaryExp*E111</f>
        <v>4787484.7112379121</v>
      </c>
      <c r="F140" s="560" t="s">
        <v>2112</v>
      </c>
    </row>
    <row r="141" spans="1:6">
      <c r="B141" s="1044" t="s">
        <v>1587</v>
      </c>
      <c r="E141" s="1040">
        <f t="shared" ref="E141" si="56">finPNLPartnerSalaryExp*E111</f>
        <v>0</v>
      </c>
      <c r="F141" s="560" t="s">
        <v>2113</v>
      </c>
    </row>
    <row r="142" spans="1:6">
      <c r="A142" s="1034"/>
      <c r="B142" s="1045" t="s">
        <v>1793</v>
      </c>
      <c r="E142" s="1046">
        <f t="shared" ref="E142" si="57">SUM(E139:E141)</f>
        <v>4897513.9723499268</v>
      </c>
      <c r="F142" s="560" t="s">
        <v>1827</v>
      </c>
    </row>
    <row r="144" spans="1:6">
      <c r="A144" s="1034" t="s">
        <v>1809</v>
      </c>
    </row>
    <row r="145" spans="1:13">
      <c r="B145" s="540" t="s">
        <v>418</v>
      </c>
      <c r="E145" s="1040">
        <f t="shared" ref="E145" si="58">(calcProd1Seg3CloudCustLifetime*(calcProd1Seg3CloudCostToServe-calcProd1Seg3CostToAcquire))</f>
        <v>261136106.68470752</v>
      </c>
      <c r="F145" s="560" t="s">
        <v>1828</v>
      </c>
    </row>
    <row r="146" spans="1:13">
      <c r="B146" s="540" t="s">
        <v>1647</v>
      </c>
      <c r="E146" s="1040"/>
      <c r="F146" s="560" t="s">
        <v>1829</v>
      </c>
    </row>
    <row r="147" spans="1:13">
      <c r="B147" s="547" t="s">
        <v>1809</v>
      </c>
      <c r="E147" s="1046">
        <f t="shared" ref="E147" si="59">SUM(E145:E146)</f>
        <v>261136106.68470752</v>
      </c>
      <c r="F147" s="560" t="s">
        <v>1830</v>
      </c>
    </row>
    <row r="148" spans="1:13">
      <c r="E148" s="1041"/>
    </row>
    <row r="149" spans="1:13" s="1028" customFormat="1" ht="18.75" customHeight="1">
      <c r="A149" s="1027"/>
      <c r="B149" s="1033" t="str">
        <f>nmProd2Seg1</f>
        <v>Intelligent Cloud Enterprise</v>
      </c>
      <c r="F149" s="1027"/>
      <c r="G149" s="1029"/>
      <c r="H149" s="1029"/>
      <c r="I149" s="1029"/>
      <c r="K149" s="1029"/>
      <c r="L149" s="1029"/>
      <c r="M149" s="1029"/>
    </row>
    <row r="151" spans="1:13">
      <c r="A151" s="1034" t="s">
        <v>1822</v>
      </c>
    </row>
    <row r="152" spans="1:13">
      <c r="B152" s="1035" t="str">
        <f>nmSeg1&amp;" % of "&amp;nmProd2&amp;" Revenue"</f>
        <v>Enterprise % of Intelligent Cloud Revenue</v>
      </c>
      <c r="E152" s="1037">
        <f t="shared" ref="E152" si="60">finPNLProd2Seg1TotalRev/finPNLTotalProd2Rev</f>
        <v>0.42658903836207451</v>
      </c>
    </row>
    <row r="153" spans="1:13">
      <c r="B153" s="1035" t="str">
        <f>nmSeg1&amp;" % of Total Revenue"</f>
        <v>Enterprise % of Total Revenue</v>
      </c>
      <c r="E153" s="1037">
        <f t="shared" ref="E153" si="61">finPNLProd2Seg1TotalRev/finPNLTotalRev</f>
        <v>0.13245107236535822</v>
      </c>
    </row>
    <row r="155" spans="1:13">
      <c r="A155" s="1034" t="s">
        <v>1798</v>
      </c>
      <c r="B155" s="547"/>
    </row>
    <row r="156" spans="1:13">
      <c r="A156" s="1038"/>
      <c r="B156" s="547" t="s">
        <v>1755</v>
      </c>
      <c r="C156" s="547"/>
      <c r="D156" s="547"/>
      <c r="E156" s="1039">
        <f t="shared" ref="E156" si="62">1/(1-cbalProd2Seg1RenRate)</f>
        <v>3.2252219851609438</v>
      </c>
      <c r="F156" s="560" t="s">
        <v>1831</v>
      </c>
    </row>
    <row r="157" spans="1:13">
      <c r="A157" s="1038"/>
    </row>
    <row r="158" spans="1:13">
      <c r="A158" s="1034" t="s">
        <v>1802</v>
      </c>
      <c r="B158" s="547"/>
    </row>
    <row r="159" spans="1:13">
      <c r="B159" s="540" t="s">
        <v>1756</v>
      </c>
      <c r="E159" s="1040">
        <f t="shared" ref="E159" si="63">finPNLProd2Seg1NewRev+finPNLProd2Seg1RenewalRev+finPNLProd2Seg1ServicesRev+finPNLProd2Seg1RevFromDef</f>
        <v>143442384.26432651</v>
      </c>
    </row>
    <row r="160" spans="1:13">
      <c r="B160" s="540" t="s">
        <v>1783</v>
      </c>
      <c r="E160" s="1040">
        <f t="shared" ref="E160" si="64">finPNLProd2Seg1NewCOGS+finPNLProd2Seg1RenewalCOGS+finPNLProd2Seg1ServicesCOGS</f>
        <v>31461966.001724847</v>
      </c>
    </row>
    <row r="161" spans="1:6">
      <c r="B161" s="560" t="s">
        <v>1075</v>
      </c>
      <c r="E161" s="1040">
        <f t="shared" ref="E161" si="65">finPNLServicesSalaryExp*E153</f>
        <v>2649021.4473071643</v>
      </c>
      <c r="F161" s="560" t="s">
        <v>2132</v>
      </c>
    </row>
    <row r="162" spans="1:6">
      <c r="B162" s="540" t="s">
        <v>208</v>
      </c>
      <c r="E162" s="1040">
        <f>E159-E160-E161</f>
        <v>109331396.8152945</v>
      </c>
    </row>
    <row r="163" spans="1:6">
      <c r="E163" s="1041"/>
    </row>
    <row r="164" spans="1:6">
      <c r="B164" s="540" t="s">
        <v>1784</v>
      </c>
      <c r="E164" s="1042">
        <f t="shared" ref="E164" si="66">1+paramWACC</f>
        <v>1.115</v>
      </c>
    </row>
    <row r="165" spans="1:6">
      <c r="E165" s="1043"/>
    </row>
    <row r="166" spans="1:6">
      <c r="B166" s="547" t="s">
        <v>1791</v>
      </c>
      <c r="E166" s="1040">
        <f>E162/E164</f>
        <v>98055064.408335879</v>
      </c>
      <c r="F166" s="560" t="s">
        <v>1832</v>
      </c>
    </row>
    <row r="168" spans="1:6">
      <c r="A168" s="1034" t="s">
        <v>1785</v>
      </c>
      <c r="B168" s="547"/>
    </row>
    <row r="169" spans="1:6">
      <c r="B169" s="1044" t="s">
        <v>1792</v>
      </c>
      <c r="E169" s="1040">
        <f t="shared" ref="E169" si="67">calcOpsCommercialProd2MarketingBudget*E152</f>
        <v>87983.989162177881</v>
      </c>
      <c r="F169" s="560" t="s">
        <v>2117</v>
      </c>
    </row>
    <row r="170" spans="1:6">
      <c r="B170" s="1044" t="s">
        <v>1073</v>
      </c>
      <c r="E170" s="1040">
        <f t="shared" ref="E170" si="68">finPNLDirectSalesSalaryExp*E153</f>
        <v>5827847.1840757616</v>
      </c>
      <c r="F170" s="560" t="s">
        <v>2118</v>
      </c>
    </row>
    <row r="171" spans="1:6">
      <c r="B171" s="1044" t="s">
        <v>1587</v>
      </c>
      <c r="E171" s="1040">
        <f t="shared" ref="E171" si="69">finPNLPartnerSalaryExp*E153</f>
        <v>0</v>
      </c>
      <c r="F171" s="560" t="s">
        <v>2119</v>
      </c>
    </row>
    <row r="172" spans="1:6">
      <c r="A172" s="1034"/>
      <c r="B172" s="1045" t="s">
        <v>1793</v>
      </c>
      <c r="E172" s="1046">
        <f t="shared" ref="E172" si="70">SUM(E169:E171)</f>
        <v>5915831.1732379394</v>
      </c>
      <c r="F172" s="560" t="s">
        <v>1833</v>
      </c>
    </row>
    <row r="174" spans="1:6">
      <c r="A174" s="1034" t="s">
        <v>1809</v>
      </c>
    </row>
    <row r="175" spans="1:6">
      <c r="B175" s="540" t="s">
        <v>418</v>
      </c>
      <c r="E175" s="1040">
        <f t="shared" ref="E175" si="71">(calcProd2Seg1CloudCustLifetime*(calcProd2Seg1CloudCostToServe-calcProd2Seg1CostToAcquire))</f>
        <v>297169480.7257098</v>
      </c>
      <c r="F175" s="560" t="s">
        <v>1834</v>
      </c>
    </row>
    <row r="177" spans="1:13" s="1028" customFormat="1" ht="18.75" customHeight="1">
      <c r="A177" s="1027"/>
      <c r="B177" s="1033" t="str">
        <f>nmProd2Seg2</f>
        <v>Intelligent Cloud SMC</v>
      </c>
      <c r="F177" s="1027"/>
      <c r="G177" s="1029"/>
      <c r="H177" s="1029"/>
      <c r="I177" s="1029"/>
      <c r="K177" s="1029"/>
      <c r="L177" s="1029"/>
      <c r="M177" s="1029"/>
    </row>
    <row r="179" spans="1:13">
      <c r="A179" s="1034" t="s">
        <v>1822</v>
      </c>
    </row>
    <row r="180" spans="1:13">
      <c r="B180" s="1035" t="str">
        <f>nmSeg2&amp;" % of "&amp;nmProd2&amp;" Revenue"</f>
        <v>SMC % of Intelligent Cloud Revenue</v>
      </c>
      <c r="E180" s="1037">
        <f t="shared" ref="E180" si="72">finPNLProd2Seg2TotalRev/finPNLTotalProd2Rev</f>
        <v>0.57341096163792549</v>
      </c>
    </row>
    <row r="181" spans="1:13">
      <c r="B181" s="1035" t="str">
        <f>nmSeg2&amp;" % of Total Revenue"</f>
        <v>SMC % of Total Revenue</v>
      </c>
      <c r="E181" s="1037">
        <f t="shared" ref="E181" si="73">finPNLProd2Seg2TotalRev/finPNLTotalRev</f>
        <v>0.17803761921920655</v>
      </c>
    </row>
    <row r="183" spans="1:13">
      <c r="A183" s="1034" t="s">
        <v>1798</v>
      </c>
      <c r="B183" s="547"/>
    </row>
    <row r="184" spans="1:13">
      <c r="A184" s="1038"/>
      <c r="B184" s="547" t="s">
        <v>1755</v>
      </c>
      <c r="C184" s="547"/>
      <c r="D184" s="547"/>
      <c r="E184" s="1039">
        <f t="shared" ref="E184" si="74">1/(1-cbalProd2Seg2RenRate)</f>
        <v>3.2252219851609438</v>
      </c>
      <c r="F184" s="560" t="s">
        <v>1835</v>
      </c>
    </row>
    <row r="185" spans="1:13">
      <c r="A185" s="1038"/>
    </row>
    <row r="186" spans="1:13">
      <c r="A186" s="1034" t="s">
        <v>1802</v>
      </c>
      <c r="B186" s="547"/>
    </row>
    <row r="187" spans="1:13">
      <c r="B187" s="540" t="s">
        <v>1756</v>
      </c>
      <c r="E187" s="1040">
        <f t="shared" ref="E187" si="75">finPNLProd2Seg2NewRev+finPNLProd2Seg2RenewalRev+finPNLProd2Seg2ServicesRev+finPNLProd2Seg2RevFromDef</f>
        <v>192811882.40667361</v>
      </c>
    </row>
    <row r="188" spans="1:13">
      <c r="B188" s="540" t="s">
        <v>1783</v>
      </c>
      <c r="E188" s="1040">
        <f t="shared" ref="E188" si="76">finPNLProd2Seg2NewCOGS+finPNLProd2Seg2RenewalCOGS+finPNLProd2Seg2ServicesCOGS</f>
        <v>46897310.223600596</v>
      </c>
    </row>
    <row r="189" spans="1:13">
      <c r="B189" s="540" t="s">
        <v>1075</v>
      </c>
      <c r="E189" s="1040">
        <f t="shared" ref="E189" si="77">finPNLServicesSalaryExp*E181</f>
        <v>3560752.3843841311</v>
      </c>
      <c r="F189" s="560" t="s">
        <v>2133</v>
      </c>
    </row>
    <row r="190" spans="1:13">
      <c r="B190" s="540" t="s">
        <v>208</v>
      </c>
      <c r="E190" s="1040">
        <f>E187-E188-E189</f>
        <v>142353819.79868889</v>
      </c>
    </row>
    <row r="191" spans="1:13">
      <c r="E191" s="1041"/>
    </row>
    <row r="192" spans="1:13">
      <c r="B192" s="540" t="s">
        <v>1784</v>
      </c>
      <c r="E192" s="1042">
        <f t="shared" ref="E192" si="78">1+paramWACC</f>
        <v>1.115</v>
      </c>
    </row>
    <row r="193" spans="1:13">
      <c r="E193" s="1043"/>
    </row>
    <row r="194" spans="1:13">
      <c r="B194" s="547" t="s">
        <v>1791</v>
      </c>
      <c r="E194" s="1040">
        <f>E190/E192</f>
        <v>127671587.26339811</v>
      </c>
      <c r="F194" s="560" t="s">
        <v>1836</v>
      </c>
    </row>
    <row r="196" spans="1:13">
      <c r="A196" s="1034" t="s">
        <v>1785</v>
      </c>
      <c r="B196" s="547"/>
    </row>
    <row r="197" spans="1:13">
      <c r="B197" s="1044" t="s">
        <v>1792</v>
      </c>
      <c r="E197" s="1040">
        <f t="shared" ref="E197" si="79">calcOpsCommercialProd2MarketingBudget*E180</f>
        <v>118266.01083782215</v>
      </c>
      <c r="F197" s="560" t="s">
        <v>2114</v>
      </c>
    </row>
    <row r="198" spans="1:13">
      <c r="B198" s="1044" t="s">
        <v>1073</v>
      </c>
      <c r="E198" s="1040">
        <f t="shared" ref="E198" si="80">finPNLDirectSalesSalaryExp*E181</f>
        <v>7833655.2456450881</v>
      </c>
      <c r="F198" s="560" t="s">
        <v>2115</v>
      </c>
    </row>
    <row r="199" spans="1:13">
      <c r="B199" s="1044" t="s">
        <v>1587</v>
      </c>
      <c r="E199" s="1040">
        <f t="shared" ref="E199" si="81">finPNLPartnerSalaryExp*E181</f>
        <v>0</v>
      </c>
      <c r="F199" s="560" t="s">
        <v>2116</v>
      </c>
    </row>
    <row r="200" spans="1:13">
      <c r="A200" s="1034"/>
      <c r="B200" s="1045" t="s">
        <v>1793</v>
      </c>
      <c r="E200" s="1046">
        <f t="shared" ref="E200" si="82">SUM(E197:E199)</f>
        <v>7951921.2564829104</v>
      </c>
      <c r="F200" s="560" t="s">
        <v>1837</v>
      </c>
    </row>
    <row r="202" spans="1:13">
      <c r="A202" s="1034" t="s">
        <v>1809</v>
      </c>
    </row>
    <row r="203" spans="1:13">
      <c r="B203" s="540" t="s">
        <v>418</v>
      </c>
      <c r="E203" s="1040">
        <f t="shared" ref="E203" si="83">(calcProd2Seg2CloudCustLifetime*(calcProd2Seg2CloudCostToServe-calcProd2Seg2CostToAcquire))</f>
        <v>386122498.86162817</v>
      </c>
      <c r="F203" s="560" t="s">
        <v>1838</v>
      </c>
    </row>
    <row r="204" spans="1:13">
      <c r="B204" s="547"/>
      <c r="E204" s="1047"/>
    </row>
    <row r="205" spans="1:13" s="1028" customFormat="1" ht="18.75" customHeight="1">
      <c r="A205" s="1027"/>
      <c r="B205" s="1033" t="str">
        <f>nmProd3Seg1</f>
        <v>Personal Computing Enterprise</v>
      </c>
      <c r="F205" s="1027"/>
      <c r="G205" s="1029"/>
      <c r="H205" s="1029"/>
      <c r="I205" s="1029"/>
      <c r="K205" s="1029"/>
      <c r="L205" s="1029"/>
      <c r="M205" s="1029"/>
    </row>
    <row r="207" spans="1:13">
      <c r="A207" s="1034" t="s">
        <v>1822</v>
      </c>
    </row>
    <row r="208" spans="1:13">
      <c r="B208" s="1035" t="str">
        <f>nmSeg1&amp;" % of "&amp;nmProd3&amp;" Revenue"</f>
        <v>Enterprise % of Personal Computing Revenue</v>
      </c>
      <c r="E208" s="1037">
        <f t="shared" ref="E208" si="84">finPNLProd3Seg1TotalRev/finPNLTotalProd3Rev</f>
        <v>0.29999999999999993</v>
      </c>
    </row>
    <row r="209" spans="1:6">
      <c r="B209" s="1035" t="str">
        <f>nmSeg1&amp;" % of Total Revenue"</f>
        <v>Enterprise % of Total Revenue</v>
      </c>
      <c r="E209" s="1037">
        <f t="shared" ref="E209" si="85">finPNLProd3Seg1TotalRev/finPNLTotalRev</f>
        <v>0.10895361121719177</v>
      </c>
    </row>
    <row r="211" spans="1:6">
      <c r="A211" s="1034" t="s">
        <v>1798</v>
      </c>
      <c r="B211" s="547"/>
    </row>
    <row r="212" spans="1:6">
      <c r="A212" s="1038"/>
      <c r="B212" s="547" t="s">
        <v>1755</v>
      </c>
      <c r="C212" s="547"/>
      <c r="D212" s="547"/>
      <c r="E212" s="1039">
        <f t="shared" ref="E212" si="86">paramProd3Lifetime</f>
        <v>1</v>
      </c>
      <c r="F212" s="560" t="s">
        <v>1839</v>
      </c>
    </row>
    <row r="213" spans="1:6">
      <c r="A213" s="1038"/>
    </row>
    <row r="214" spans="1:6">
      <c r="A214" s="1034" t="s">
        <v>1802</v>
      </c>
      <c r="B214" s="547"/>
    </row>
    <row r="215" spans="1:6">
      <c r="B215" s="540" t="s">
        <v>1756</v>
      </c>
      <c r="E215" s="1040">
        <f t="shared" ref="E215" si="87">finPNLProd3Seg1TotalRev</f>
        <v>117995011.20000002</v>
      </c>
    </row>
    <row r="216" spans="1:6">
      <c r="B216" s="540" t="s">
        <v>1783</v>
      </c>
      <c r="E216" s="1040">
        <f t="shared" ref="E216" si="88">finPNLProd3Seg1TotalCOGs</f>
        <v>64897256.160000004</v>
      </c>
    </row>
    <row r="217" spans="1:6">
      <c r="B217" s="540" t="s">
        <v>1075</v>
      </c>
      <c r="E217" s="1040">
        <f t="shared" ref="E217" si="89">finPNLServicesSalaryExp*E209</f>
        <v>2179072.2243438354</v>
      </c>
      <c r="F217" s="560" t="s">
        <v>2134</v>
      </c>
    </row>
    <row r="218" spans="1:6">
      <c r="B218" s="540" t="s">
        <v>208</v>
      </c>
      <c r="E218" s="1040">
        <f>E215-E216-E217</f>
        <v>50918682.815656178</v>
      </c>
    </row>
    <row r="219" spans="1:6">
      <c r="E219" s="1041"/>
    </row>
    <row r="220" spans="1:6">
      <c r="B220" s="540" t="s">
        <v>1784</v>
      </c>
      <c r="E220" s="1042">
        <f t="shared" ref="E220" si="90">1+paramWACC</f>
        <v>1.115</v>
      </c>
    </row>
    <row r="221" spans="1:6">
      <c r="E221" s="1043"/>
    </row>
    <row r="222" spans="1:6">
      <c r="B222" s="547" t="s">
        <v>1791</v>
      </c>
      <c r="E222" s="1040">
        <f>E218/E220</f>
        <v>45666980.103727512</v>
      </c>
      <c r="F222" s="560" t="s">
        <v>1840</v>
      </c>
    </row>
    <row r="224" spans="1:6">
      <c r="A224" s="1034" t="s">
        <v>1785</v>
      </c>
      <c r="B224" s="547"/>
    </row>
    <row r="225" spans="1:13">
      <c r="B225" s="1044" t="s">
        <v>1792</v>
      </c>
      <c r="E225" s="1040">
        <f t="shared" ref="E225" si="91">calcOpsCommercialProd3MarketingBudget*E208</f>
        <v>86624.999999999985</v>
      </c>
      <c r="F225" s="560" t="s">
        <v>2120</v>
      </c>
    </row>
    <row r="226" spans="1:13">
      <c r="B226" s="1044" t="s">
        <v>1073</v>
      </c>
      <c r="E226" s="1040">
        <f t="shared" ref="E226" si="92">finPNLDirectSalesSalaryExp*E209</f>
        <v>4793958.8935564375</v>
      </c>
      <c r="F226" s="560" t="s">
        <v>2121</v>
      </c>
    </row>
    <row r="227" spans="1:13">
      <c r="B227" s="1044" t="s">
        <v>1587</v>
      </c>
      <c r="E227" s="1040">
        <f t="shared" ref="E227" si="93">finPNLPartnerSalaryExp*E209</f>
        <v>0</v>
      </c>
      <c r="F227" s="560" t="s">
        <v>2122</v>
      </c>
    </row>
    <row r="228" spans="1:13">
      <c r="A228" s="1034"/>
      <c r="B228" s="1045" t="s">
        <v>1793</v>
      </c>
      <c r="E228" s="1046">
        <f t="shared" ref="E228" si="94">SUM(E225:E227)</f>
        <v>4880583.8935564375</v>
      </c>
      <c r="F228" s="560" t="s">
        <v>1841</v>
      </c>
    </row>
    <row r="230" spans="1:13">
      <c r="A230" s="1034" t="s">
        <v>1809</v>
      </c>
    </row>
    <row r="231" spans="1:13">
      <c r="B231" s="540" t="s">
        <v>418</v>
      </c>
      <c r="E231" s="1040">
        <f t="shared" ref="E231" si="95">(calcProd3Seg1CloudCustLifetime*(calcProd3Seg1CloudCostToServe-calcProd3Seg1CostToAcquire))</f>
        <v>40786396.210171074</v>
      </c>
      <c r="F231" s="560" t="s">
        <v>1842</v>
      </c>
    </row>
    <row r="233" spans="1:13" s="1028" customFormat="1" ht="18.75" customHeight="1">
      <c r="A233" s="1027"/>
      <c r="B233" s="1033" t="str">
        <f>nmProd3Seg2</f>
        <v>Personal Computing SMC</v>
      </c>
      <c r="F233" s="1027"/>
      <c r="G233" s="1029"/>
      <c r="H233" s="1029"/>
      <c r="I233" s="1029"/>
      <c r="K233" s="1029"/>
      <c r="L233" s="1029"/>
      <c r="M233" s="1029"/>
    </row>
    <row r="235" spans="1:13">
      <c r="A235" s="1034" t="s">
        <v>1822</v>
      </c>
    </row>
    <row r="236" spans="1:13">
      <c r="B236" s="1035" t="str">
        <f>nmSeg2&amp;" % of "&amp;nmProd3&amp;" Revenue"</f>
        <v>SMC % of Personal Computing Revenue</v>
      </c>
      <c r="E236" s="1037">
        <f t="shared" ref="E236" si="96">finPNLProd3Seg2TotalRev/finPNLTotalProd3Rev</f>
        <v>0.24999959727110901</v>
      </c>
    </row>
    <row r="237" spans="1:13">
      <c r="B237" s="1035" t="str">
        <f>nmSeg2&amp;" % of Total Revenue"</f>
        <v>SMC % of Total Revenue</v>
      </c>
      <c r="E237" s="1037">
        <f t="shared" ref="E237" si="97">finPNLProd3Seg2TotalRev/finPNLTotalRev</f>
        <v>9.079452975176977E-2</v>
      </c>
    </row>
    <row r="239" spans="1:13">
      <c r="A239" s="1034" t="s">
        <v>1798</v>
      </c>
      <c r="B239" s="547"/>
    </row>
    <row r="240" spans="1:13">
      <c r="A240" s="1038"/>
      <c r="B240" s="547" t="s">
        <v>1755</v>
      </c>
      <c r="C240" s="547"/>
      <c r="D240" s="547"/>
      <c r="E240" s="1039">
        <f t="shared" ref="E240" si="98">paramProd3Lifetime</f>
        <v>1</v>
      </c>
      <c r="F240" s="560" t="s">
        <v>1843</v>
      </c>
    </row>
    <row r="241" spans="1:6">
      <c r="A241" s="1038"/>
    </row>
    <row r="242" spans="1:6">
      <c r="A242" s="1034" t="s">
        <v>1802</v>
      </c>
      <c r="B242" s="547"/>
    </row>
    <row r="243" spans="1:6">
      <c r="B243" s="540" t="s">
        <v>1756</v>
      </c>
      <c r="E243" s="1040">
        <f t="shared" ref="E243" si="99">finPNLProd3Seg2TotalRev</f>
        <v>98329017.600000024</v>
      </c>
    </row>
    <row r="244" spans="1:6">
      <c r="B244" s="540" t="s">
        <v>1783</v>
      </c>
      <c r="E244" s="1040">
        <f t="shared" ref="E244" si="100">finPNLProd3Seg2TotalCOGs</f>
        <v>54080959.680000007</v>
      </c>
    </row>
    <row r="245" spans="1:6">
      <c r="B245" s="560" t="s">
        <v>1075</v>
      </c>
      <c r="E245" s="1040">
        <f t="shared" ref="E245" si="101">finPNLServicesSalaryExp*E237</f>
        <v>1815890.5950353954</v>
      </c>
      <c r="F245" s="560" t="s">
        <v>2135</v>
      </c>
    </row>
    <row r="246" spans="1:6">
      <c r="B246" s="540" t="s">
        <v>208</v>
      </c>
      <c r="E246" s="1040">
        <f>E243-E244-E245</f>
        <v>42432167.32496462</v>
      </c>
    </row>
    <row r="247" spans="1:6">
      <c r="E247" s="1041"/>
    </row>
    <row r="248" spans="1:6">
      <c r="B248" s="540" t="s">
        <v>1784</v>
      </c>
      <c r="E248" s="1042">
        <f t="shared" ref="E248" si="102">1+paramWACC</f>
        <v>1.115</v>
      </c>
    </row>
    <row r="249" spans="1:6">
      <c r="E249" s="1043"/>
    </row>
    <row r="250" spans="1:6">
      <c r="B250" s="547" t="s">
        <v>1791</v>
      </c>
      <c r="E250" s="1040">
        <f>E246/E248</f>
        <v>38055755.448398761</v>
      </c>
      <c r="F250" s="560" t="s">
        <v>1844</v>
      </c>
    </row>
    <row r="252" spans="1:6">
      <c r="A252" s="1034" t="s">
        <v>1785</v>
      </c>
      <c r="B252" s="547"/>
    </row>
    <row r="253" spans="1:6">
      <c r="B253" s="1044" t="s">
        <v>1792</v>
      </c>
      <c r="E253" s="1040">
        <f t="shared" ref="E253" si="103">calcOpsCommercialProd3MarketingBudget*E236</f>
        <v>72187.383712032723</v>
      </c>
      <c r="F253" s="560" t="s">
        <v>2123</v>
      </c>
    </row>
    <row r="254" spans="1:6">
      <c r="B254" s="1044" t="s">
        <v>1073</v>
      </c>
      <c r="E254" s="1040">
        <f t="shared" ref="E254" si="104">finPNLDirectSalesSalaryExp*E237</f>
        <v>3994959.3090778701</v>
      </c>
      <c r="F254" s="560" t="s">
        <v>2124</v>
      </c>
    </row>
    <row r="255" spans="1:6">
      <c r="B255" s="1044" t="s">
        <v>1587</v>
      </c>
      <c r="E255" s="1040">
        <f t="shared" ref="E255" si="105">finPNLPartnerSalaryExp*E237</f>
        <v>0</v>
      </c>
      <c r="F255" s="560" t="s">
        <v>2125</v>
      </c>
    </row>
    <row r="256" spans="1:6">
      <c r="A256" s="1034"/>
      <c r="B256" s="1045" t="s">
        <v>1793</v>
      </c>
      <c r="E256" s="1046">
        <f t="shared" ref="E256" si="106">SUM(E253:E255)</f>
        <v>4067146.6927899029</v>
      </c>
      <c r="F256" s="560" t="s">
        <v>1845</v>
      </c>
    </row>
    <row r="258" spans="1:13">
      <c r="A258" s="1034" t="s">
        <v>1809</v>
      </c>
    </row>
    <row r="259" spans="1:13">
      <c r="B259" s="540" t="s">
        <v>418</v>
      </c>
      <c r="E259" s="1040">
        <f t="shared" ref="E259" si="107">(calcProd3Seg2CloudCustLifetime*(calcProd3Seg2CloudCostToServe-calcProd3Seg2CostToAcquire))</f>
        <v>33988608.755608857</v>
      </c>
      <c r="F259" s="560" t="s">
        <v>1846</v>
      </c>
    </row>
    <row r="261" spans="1:13" s="1028" customFormat="1" ht="18.75" customHeight="1">
      <c r="A261" s="1027"/>
      <c r="B261" s="1033" t="str">
        <f>nmProd3Seg3</f>
        <v>Personal Computing Consumer</v>
      </c>
      <c r="F261" s="1027"/>
      <c r="G261" s="1029"/>
      <c r="H261" s="1029"/>
      <c r="I261" s="1029"/>
      <c r="K261" s="1029"/>
      <c r="L261" s="1029"/>
      <c r="M261" s="1029"/>
    </row>
    <row r="263" spans="1:13">
      <c r="A263" s="1034" t="s">
        <v>1822</v>
      </c>
    </row>
    <row r="264" spans="1:13">
      <c r="B264" s="1035" t="str">
        <f>nmSeg3&amp;" % of "&amp;nmProd3&amp;" Revenue"</f>
        <v>Consumer % of Personal Computing Revenue</v>
      </c>
      <c r="E264" s="1037">
        <f t="shared" ref="E264" si="108">finPNLProd3Seg3TotalRev/finPNLTotalProd3Rev</f>
        <v>0.45000040272889097</v>
      </c>
    </row>
    <row r="265" spans="1:13">
      <c r="B265" s="1035" t="str">
        <f>nmSeg3&amp;" % of Total Revenue"</f>
        <v>Consumer % of Total Revenue</v>
      </c>
      <c r="E265" s="1037">
        <f t="shared" ref="E265" si="109">finPNLProd3Seg3TotalRev/finPNLTotalRev</f>
        <v>0.16343056308834439</v>
      </c>
    </row>
    <row r="267" spans="1:13">
      <c r="A267" s="1034" t="s">
        <v>1798</v>
      </c>
      <c r="B267" s="547"/>
    </row>
    <row r="268" spans="1:13">
      <c r="A268" s="1038"/>
      <c r="B268" s="547" t="s">
        <v>1755</v>
      </c>
      <c r="C268" s="547"/>
      <c r="D268" s="547"/>
      <c r="E268" s="1039">
        <f t="shared" ref="E268" si="110">paramProd3Lifetime</f>
        <v>1</v>
      </c>
      <c r="F268" s="560" t="s">
        <v>1847</v>
      </c>
    </row>
    <row r="269" spans="1:13">
      <c r="A269" s="1038"/>
    </row>
    <row r="270" spans="1:13">
      <c r="A270" s="1034" t="s">
        <v>1802</v>
      </c>
      <c r="B270" s="547"/>
    </row>
    <row r="271" spans="1:13">
      <c r="B271" s="540" t="s">
        <v>1756</v>
      </c>
      <c r="E271" s="1040">
        <f t="shared" ref="E271" si="111">finPNLProd3Seg3TotalRev</f>
        <v>176992675.20000005</v>
      </c>
    </row>
    <row r="272" spans="1:13">
      <c r="B272" s="540" t="s">
        <v>1783</v>
      </c>
      <c r="E272" s="1040">
        <f t="shared" ref="E272" si="112">finPNLProd3Seg3TotalCOGs</f>
        <v>97345971.360000014</v>
      </c>
    </row>
    <row r="273" spans="1:6">
      <c r="B273" s="560" t="s">
        <v>1075</v>
      </c>
      <c r="E273" s="1040">
        <f t="shared" ref="E273" si="113">finPNLServicesSalaryExp*E265</f>
        <v>3268611.2617668877</v>
      </c>
      <c r="F273" s="560" t="s">
        <v>2136</v>
      </c>
    </row>
    <row r="274" spans="1:6">
      <c r="B274" s="540" t="s">
        <v>208</v>
      </c>
      <c r="E274" s="1040">
        <f>E271-E272-E273</f>
        <v>76378092.578233153</v>
      </c>
    </row>
    <row r="275" spans="1:6">
      <c r="E275" s="1041"/>
    </row>
    <row r="276" spans="1:6">
      <c r="B276" s="540" t="s">
        <v>1784</v>
      </c>
      <c r="E276" s="1042">
        <f t="shared" ref="E276" si="114">1+paramWACC</f>
        <v>1.115</v>
      </c>
    </row>
    <row r="277" spans="1:6">
      <c r="E277" s="1043"/>
    </row>
    <row r="278" spans="1:6">
      <c r="B278" s="547" t="s">
        <v>1791</v>
      </c>
      <c r="E278" s="1040">
        <f>E274/E276</f>
        <v>68500531.460298792</v>
      </c>
      <c r="F278" s="560" t="s">
        <v>1848</v>
      </c>
    </row>
    <row r="280" spans="1:6">
      <c r="A280" s="1034" t="s">
        <v>1785</v>
      </c>
      <c r="B280" s="547"/>
    </row>
    <row r="281" spans="1:6">
      <c r="B281" s="1044" t="s">
        <v>1792</v>
      </c>
      <c r="E281" s="1040">
        <f t="shared" ref="E281" si="115">calcOpsCommercialProd3MarketingBudget*E264</f>
        <v>129937.61628796726</v>
      </c>
      <c r="F281" s="560" t="s">
        <v>2126</v>
      </c>
    </row>
    <row r="282" spans="1:6">
      <c r="B282" s="1044" t="s">
        <v>1073</v>
      </c>
      <c r="E282" s="1040">
        <f t="shared" ref="E282" si="116">finPNLDirectSalesSalaryExp*E265</f>
        <v>7190944.7758871531</v>
      </c>
      <c r="F282" s="560" t="s">
        <v>2127</v>
      </c>
    </row>
    <row r="283" spans="1:6">
      <c r="B283" s="1044" t="s">
        <v>1587</v>
      </c>
      <c r="E283" s="1040">
        <f t="shared" ref="E283" si="117">finPNLPartnerSalaryExp*E265</f>
        <v>0</v>
      </c>
      <c r="F283" s="560" t="s">
        <v>2128</v>
      </c>
    </row>
    <row r="284" spans="1:6">
      <c r="A284" s="1034"/>
      <c r="B284" s="1045" t="s">
        <v>1793</v>
      </c>
      <c r="E284" s="1046">
        <f t="shared" ref="E284" si="118">SUM(E281:E283)</f>
        <v>7320882.3921751203</v>
      </c>
      <c r="F284" s="560" t="s">
        <v>1849</v>
      </c>
    </row>
    <row r="286" spans="1:6">
      <c r="A286" s="1034" t="s">
        <v>1809</v>
      </c>
    </row>
    <row r="287" spans="1:6">
      <c r="B287" s="540" t="s">
        <v>418</v>
      </c>
      <c r="E287" s="1040">
        <f t="shared" ref="E287" si="119">(calcProd3Seg3CloudCustLifetime*(calcProd3Seg3CloudCostToServe-calcProd3Seg3CostToAcquire))</f>
        <v>61179649.068123668</v>
      </c>
      <c r="F287" s="560" t="s">
        <v>1850</v>
      </c>
    </row>
    <row r="290" spans="1:13" s="1028" customFormat="1" ht="18.75" customHeight="1">
      <c r="A290" s="1027"/>
      <c r="B290" s="1033" t="s">
        <v>1809</v>
      </c>
      <c r="F290" s="1027"/>
      <c r="G290" s="1029"/>
      <c r="H290" s="1029"/>
      <c r="I290" s="1029"/>
      <c r="K290" s="1029"/>
      <c r="L290" s="1029"/>
      <c r="M290" s="1029"/>
    </row>
    <row r="292" spans="1:13">
      <c r="A292" s="1045" t="s">
        <v>1855</v>
      </c>
    </row>
    <row r="293" spans="1:13">
      <c r="B293" s="540" t="str">
        <f>nmProd1</f>
        <v>Productivity &amp; Business</v>
      </c>
      <c r="E293" s="1040">
        <f t="shared" ref="E293" si="120">calcProd1Seg1TotalCLV+calcProd1Seg2TotalCLV+calcProd1Seg3TotalCLV</f>
        <v>753527119.56648958</v>
      </c>
      <c r="F293" s="560" t="s">
        <v>1851</v>
      </c>
    </row>
    <row r="294" spans="1:13">
      <c r="B294" s="540" t="str">
        <f>nmProd2</f>
        <v>Intelligent Cloud</v>
      </c>
      <c r="E294" s="1040">
        <f t="shared" ref="E294" si="121">calcProd2Seg1TotalCLV+calcProd2Seg2TotalCLV</f>
        <v>683291979.58733797</v>
      </c>
      <c r="F294" s="560" t="s">
        <v>1852</v>
      </c>
    </row>
    <row r="295" spans="1:13">
      <c r="B295" s="540" t="str">
        <f>nmProd3</f>
        <v>Personal Computing</v>
      </c>
      <c r="E295" s="1040">
        <f t="shared" ref="E295" si="122">calcProd3Seg1TotalCLV+calcProd3Seg2TotalCLV+calcProd3Seg3TotalCLV</f>
        <v>135954654.0339036</v>
      </c>
      <c r="F295" s="560" t="s">
        <v>1853</v>
      </c>
    </row>
    <row r="296" spans="1:13">
      <c r="B296" s="547" t="s">
        <v>1809</v>
      </c>
      <c r="E296" s="1046">
        <f>SUM(E293:E295)</f>
        <v>1572773753.1877313</v>
      </c>
      <c r="F296" s="560" t="s">
        <v>1854</v>
      </c>
    </row>
    <row r="298" spans="1:13">
      <c r="A298" s="1045" t="s">
        <v>1856</v>
      </c>
    </row>
    <row r="299" spans="1:13">
      <c r="B299" s="540" t="str">
        <f>nmSeg1</f>
        <v>Enterprise</v>
      </c>
      <c r="E299" s="1040">
        <f t="shared" ref="E299" si="123">calcProd1Seg1TotalCLV+calcProd2Seg1TotalCLV+calcProd3Seg1TotalCLV</f>
        <v>628819155.15471065</v>
      </c>
      <c r="F299" s="560" t="s">
        <v>1857</v>
      </c>
    </row>
    <row r="300" spans="1:13">
      <c r="B300" s="540" t="str">
        <f>nmSeg2</f>
        <v>SMC</v>
      </c>
      <c r="E300" s="1040">
        <f t="shared" ref="E300" si="124">calcProd1Seg2TotalCLV+calcProd2Seg2TotalCLV+calcProd3Seg2TotalCLV</f>
        <v>621638842.28018928</v>
      </c>
      <c r="F300" s="560" t="s">
        <v>1858</v>
      </c>
    </row>
    <row r="301" spans="1:13">
      <c r="B301" s="540" t="str">
        <f>nmSeg3</f>
        <v>Consumer</v>
      </c>
      <c r="E301" s="1040">
        <f t="shared" ref="E301" si="125">calcProd1Seg3TotalCLV+calcProd3Seg3TotalCLV</f>
        <v>322315755.75283122</v>
      </c>
      <c r="F301" s="560" t="s">
        <v>1859</v>
      </c>
    </row>
    <row r="302" spans="1:13">
      <c r="B302" s="547" t="s">
        <v>1809</v>
      </c>
      <c r="E302" s="1046">
        <f t="shared" ref="E302" si="126">SUM(E299:E301)</f>
        <v>1572773753.187731</v>
      </c>
    </row>
    <row r="305" spans="1:13" s="1028" customFormat="1" ht="18.75" customHeight="1">
      <c r="A305" s="1027"/>
      <c r="B305" s="1033" t="s">
        <v>1809</v>
      </c>
      <c r="F305" s="1027"/>
      <c r="G305" s="1029"/>
      <c r="H305" s="1029"/>
      <c r="I305" s="1029"/>
      <c r="K305" s="1029"/>
      <c r="L305" s="1029"/>
      <c r="M305" s="1029"/>
    </row>
    <row r="307" spans="1:13" s="1050" customFormat="1">
      <c r="B307" s="1051" t="s">
        <v>2237</v>
      </c>
      <c r="D307" s="1052"/>
      <c r="E307" s="1053">
        <f>IF(xxNumOfTeams&gt;0,cbalTotalCLV,0)</f>
        <v>1572773753.1877313</v>
      </c>
    </row>
    <row r="308" spans="1:13" s="1050" customFormat="1">
      <c r="B308" s="1051" t="s">
        <v>2238</v>
      </c>
      <c r="D308" s="1052"/>
      <c r="E308" s="1053">
        <f>IF(xxNumOfTeams&gt;0,calcSeg1TotalCLV+calcSeg2TotalCLV,0)</f>
        <v>1250457997.4348998</v>
      </c>
    </row>
    <row r="309" spans="1:13" s="1050" customFormat="1">
      <c r="B309" s="1051" t="s">
        <v>2239</v>
      </c>
      <c r="D309" s="1052"/>
      <c r="E309" s="1053">
        <f>IF(xxNumOfTeams&gt;0,calcSeg3TotalCLV,0)</f>
        <v>322315755.75283122</v>
      </c>
    </row>
    <row r="310" spans="1:13" s="1050" customFormat="1">
      <c r="B310" s="1051" t="str">
        <f>nmProd1Seg1&amp;" Top 5 CLV"</f>
        <v>Productivity &amp; Business Enterprise Top 5 CLV</v>
      </c>
      <c r="D310" s="1052"/>
      <c r="E310" s="1053">
        <f>IF(xxNumOfTeams&gt;0,calcProd1Seg1TotalCLV,0)</f>
        <v>290863278.21882975</v>
      </c>
    </row>
    <row r="311" spans="1:13" s="1050" customFormat="1">
      <c r="B311" s="1051" t="str">
        <f>nmProd1Seg2&amp;" Top 5 CLV"</f>
        <v>Productivity &amp; Business SMC Top 5 CLV</v>
      </c>
      <c r="D311" s="1052"/>
      <c r="E311" s="1053">
        <f>IF(xxNumOfTeams&gt;0,calcProd1Seg2TotalCLV,0)</f>
        <v>201527734.66295233</v>
      </c>
    </row>
    <row r="312" spans="1:13" s="1050" customFormat="1">
      <c r="B312" s="1051" t="str">
        <f>nmProd1Seg3&amp;" Top 5 CLV"</f>
        <v>Productivity &amp; Business Consumer Top 5 CLV</v>
      </c>
      <c r="D312" s="1052"/>
      <c r="E312" s="1053">
        <f>IF(xxNumOfTeams&gt;0,calcProd1Seg3TotalCLV,0)</f>
        <v>261136106.68470752</v>
      </c>
    </row>
    <row r="313" spans="1:13" s="1050" customFormat="1">
      <c r="B313" s="1051" t="str">
        <f>nmProd2Seg1&amp;" Top 5 CLV"</f>
        <v>Intelligent Cloud Enterprise Top 5 CLV</v>
      </c>
      <c r="D313" s="1052"/>
      <c r="E313" s="1053">
        <f>IF(xxNumOfTeams&gt;0,calcProd2Seg1TotalCLV,0)</f>
        <v>297169480.7257098</v>
      </c>
    </row>
    <row r="314" spans="1:13" s="1050" customFormat="1">
      <c r="B314" s="1051" t="str">
        <f>nmProd2Seg2&amp;" Top 5 CLV"</f>
        <v>Intelligent Cloud SMC Top 5 CLV</v>
      </c>
      <c r="D314" s="1052"/>
      <c r="E314" s="1053">
        <f>IF(xxNumOfTeams&gt;0,calcProd2Seg2TotalCLV,0)</f>
        <v>386122498.86162817</v>
      </c>
    </row>
    <row r="315" spans="1:13" s="1050" customFormat="1">
      <c r="B315" s="1051" t="str">
        <f>nmProd3Seg1&amp;" Top 5 CLV"</f>
        <v>Personal Computing Enterprise Top 5 CLV</v>
      </c>
      <c r="D315" s="1052"/>
      <c r="E315" s="1053">
        <f>IF(xxNumOfTeams&gt;0,calcProd3Seg1TotalCLV,0)</f>
        <v>40786396.210171074</v>
      </c>
    </row>
    <row r="316" spans="1:13" s="1050" customFormat="1">
      <c r="B316" s="1051" t="str">
        <f>nmProd3Seg2&amp;" Top 5 CLV"</f>
        <v>Personal Computing SMC Top 5 CLV</v>
      </c>
      <c r="D316" s="1052"/>
      <c r="E316" s="1053">
        <f>IF(xxNumOfTeams&gt;0,calcProd3Seg2TotalCLV,0)</f>
        <v>33988608.755608857</v>
      </c>
    </row>
    <row r="317" spans="1:13" s="1050" customFormat="1">
      <c r="B317" s="1051" t="str">
        <f>nmProd3Seg3&amp;" Top 5 CLV"</f>
        <v>Personal Computing Consumer Top 5 CLV</v>
      </c>
      <c r="D317" s="1052"/>
      <c r="E317" s="1053">
        <f>IF(xxNumOfTeams&gt;0,calcProd3Seg3TotalCLV,0)</f>
        <v>61179649.068123668</v>
      </c>
    </row>
    <row r="318" spans="1:13" s="1050" customFormat="1">
      <c r="B318" s="1051" t="s">
        <v>394</v>
      </c>
      <c r="D318" s="1052"/>
      <c r="E318" s="1055">
        <f ca="1">IF(xxNumOfTeams&gt;0,cbalWHI,0)</f>
        <v>79.546374999999998</v>
      </c>
    </row>
    <row r="319" spans="1:13" s="1050" customFormat="1">
      <c r="B319" s="1051" t="s">
        <v>393</v>
      </c>
      <c r="D319" s="1052"/>
      <c r="E319" s="1055">
        <f>IF(xxNumOfTeams&gt;0,cbalCPE,0)</f>
        <v>78.678750000000008</v>
      </c>
    </row>
    <row r="320" spans="1:13" s="1050" customFormat="1">
      <c r="B320" s="1051" t="s">
        <v>458</v>
      </c>
      <c r="D320" s="1052"/>
      <c r="E320" s="1055">
        <f ca="1">IF(xxNumOfTeams&gt;0,cbalCollab,0)</f>
        <v>9</v>
      </c>
    </row>
    <row r="321" spans="2:6" s="1048" customFormat="1" ht="15">
      <c r="E321" s="1049"/>
    </row>
    <row r="323" spans="2:6" s="1050" customFormat="1">
      <c r="B323" s="1051" t="s">
        <v>2237</v>
      </c>
      <c r="D323" s="1052"/>
      <c r="E323" s="1054">
        <f t="shared" ref="E323:E336" si="127">RANK(E307,$E307:$E307)</f>
        <v>1</v>
      </c>
      <c r="F323" s="1050" t="s">
        <v>2778</v>
      </c>
    </row>
    <row r="324" spans="2:6" s="1050" customFormat="1">
      <c r="B324" s="1051" t="s">
        <v>2238</v>
      </c>
      <c r="D324" s="1052"/>
      <c r="E324" s="1054">
        <f t="shared" si="127"/>
        <v>1</v>
      </c>
      <c r="F324" s="1050" t="s">
        <v>2779</v>
      </c>
    </row>
    <row r="325" spans="2:6" s="1050" customFormat="1">
      <c r="B325" s="1051" t="s">
        <v>2239</v>
      </c>
      <c r="D325" s="1052"/>
      <c r="E325" s="1054">
        <f t="shared" si="127"/>
        <v>1</v>
      </c>
      <c r="F325" s="1050" t="s">
        <v>2780</v>
      </c>
    </row>
    <row r="326" spans="2:6" s="1050" customFormat="1">
      <c r="B326" s="1051" t="str">
        <f>nmProd1Seg1&amp;" Top 5 CLV"</f>
        <v>Productivity &amp; Business Enterprise Top 5 CLV</v>
      </c>
      <c r="D326" s="1052"/>
      <c r="E326" s="1054">
        <f t="shared" si="127"/>
        <v>1</v>
      </c>
      <c r="F326" s="1050" t="s">
        <v>2781</v>
      </c>
    </row>
    <row r="327" spans="2:6" s="1050" customFormat="1">
      <c r="B327" s="1051" t="str">
        <f>nmProd1Seg2&amp;" Top 5 CLV"</f>
        <v>Productivity &amp; Business SMC Top 5 CLV</v>
      </c>
      <c r="D327" s="1052"/>
      <c r="E327" s="1054">
        <f t="shared" si="127"/>
        <v>1</v>
      </c>
      <c r="F327" s="1050" t="s">
        <v>2782</v>
      </c>
    </row>
    <row r="328" spans="2:6" s="1050" customFormat="1">
      <c r="B328" s="1051" t="str">
        <f>nmProd1Seg3&amp;" Top 5 CLV"</f>
        <v>Productivity &amp; Business Consumer Top 5 CLV</v>
      </c>
      <c r="D328" s="1052"/>
      <c r="E328" s="1054">
        <f t="shared" si="127"/>
        <v>1</v>
      </c>
      <c r="F328" s="1050" t="s">
        <v>2783</v>
      </c>
    </row>
    <row r="329" spans="2:6" s="1050" customFormat="1">
      <c r="B329" s="1051" t="str">
        <f>nmProd2Seg1&amp;" Top 5 CLV"</f>
        <v>Intelligent Cloud Enterprise Top 5 CLV</v>
      </c>
      <c r="D329" s="1052"/>
      <c r="E329" s="1054">
        <f t="shared" si="127"/>
        <v>1</v>
      </c>
      <c r="F329" s="1050" t="s">
        <v>2784</v>
      </c>
    </row>
    <row r="330" spans="2:6" s="1050" customFormat="1">
      <c r="B330" s="1051" t="str">
        <f>nmProd2Seg2&amp;" Top 5 CLV"</f>
        <v>Intelligent Cloud SMC Top 5 CLV</v>
      </c>
      <c r="D330" s="1052"/>
      <c r="E330" s="1054">
        <f t="shared" si="127"/>
        <v>1</v>
      </c>
      <c r="F330" s="1050" t="s">
        <v>2785</v>
      </c>
    </row>
    <row r="331" spans="2:6" s="1050" customFormat="1">
      <c r="B331" s="1051" t="str">
        <f>nmProd3Seg1&amp;" Top 5 CLV"</f>
        <v>Personal Computing Enterprise Top 5 CLV</v>
      </c>
      <c r="D331" s="1052"/>
      <c r="E331" s="1054">
        <f t="shared" si="127"/>
        <v>1</v>
      </c>
      <c r="F331" s="1050" t="s">
        <v>2786</v>
      </c>
    </row>
    <row r="332" spans="2:6" s="1050" customFormat="1">
      <c r="B332" s="1051" t="str">
        <f>nmProd3Seg2&amp;" Top 5 CLV"</f>
        <v>Personal Computing SMC Top 5 CLV</v>
      </c>
      <c r="D332" s="1052"/>
      <c r="E332" s="1054">
        <f t="shared" si="127"/>
        <v>1</v>
      </c>
      <c r="F332" s="1050" t="s">
        <v>2787</v>
      </c>
    </row>
    <row r="333" spans="2:6" s="1050" customFormat="1">
      <c r="B333" s="1051" t="str">
        <f>nmProd3Seg3&amp;" Top 5 CLV"</f>
        <v>Personal Computing Consumer Top 5 CLV</v>
      </c>
      <c r="D333" s="1052"/>
      <c r="E333" s="1054">
        <f t="shared" si="127"/>
        <v>1</v>
      </c>
      <c r="F333" s="1050" t="s">
        <v>2788</v>
      </c>
    </row>
    <row r="334" spans="2:6" s="1050" customFormat="1">
      <c r="B334" s="1051" t="s">
        <v>394</v>
      </c>
      <c r="D334" s="1052"/>
      <c r="E334" s="1054">
        <f t="shared" ca="1" si="127"/>
        <v>1</v>
      </c>
      <c r="F334" s="1050" t="s">
        <v>2789</v>
      </c>
    </row>
    <row r="335" spans="2:6" s="1050" customFormat="1">
      <c r="B335" s="1051" t="s">
        <v>393</v>
      </c>
      <c r="D335" s="1052"/>
      <c r="E335" s="1054">
        <f t="shared" si="127"/>
        <v>1</v>
      </c>
      <c r="F335" s="1050" t="s">
        <v>2790</v>
      </c>
    </row>
    <row r="336" spans="2:6" s="1050" customFormat="1">
      <c r="B336" s="1051" t="s">
        <v>458</v>
      </c>
      <c r="D336" s="1052"/>
      <c r="E336" s="1054">
        <f t="shared" ca="1" si="127"/>
        <v>1</v>
      </c>
      <c r="F336" s="1050" t="s">
        <v>2791</v>
      </c>
    </row>
  </sheetData>
  <hyperlinks>
    <hyperlink ref="C6" r:id="rId1"/>
  </hyperlinks>
  <pageMargins left="0.7" right="0.7" top="0.75" bottom="0.75" header="0.3" footer="0.3"/>
  <pageSetup orientation="portrait" horizontalDpi="4294967292"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2"/>
  </sheetPr>
  <dimension ref="A1:AG189"/>
  <sheetViews>
    <sheetView topLeftCell="A25" workbookViewId="0">
      <selection activeCell="E40" sqref="E40"/>
    </sheetView>
  </sheetViews>
  <sheetFormatPr defaultColWidth="5.90625" defaultRowHeight="13.8"/>
  <cols>
    <col min="1" max="1" width="1.08984375" style="158" customWidth="1"/>
    <col min="2" max="2" width="0.7265625" style="158" customWidth="1"/>
    <col min="3" max="3" width="18.453125" style="158" customWidth="1"/>
    <col min="4" max="4" width="12.1796875" style="158" customWidth="1"/>
    <col min="5" max="14" width="9.36328125" style="158" customWidth="1"/>
    <col min="15" max="15" width="2.1796875" style="158" customWidth="1"/>
    <col min="16" max="16" width="13.36328125" style="158" customWidth="1"/>
    <col min="17" max="17" width="2.1796875" style="158" customWidth="1"/>
    <col min="18" max="23" width="7" style="158" customWidth="1"/>
    <col min="24" max="24" width="2.1796875" style="158" customWidth="1"/>
    <col min="25" max="27" width="7" style="158" customWidth="1"/>
    <col min="28" max="28" width="5.90625" style="158" customWidth="1"/>
    <col min="29" max="29" width="8.90625" style="158" customWidth="1"/>
    <col min="30" max="30" width="7" style="158" customWidth="1"/>
    <col min="31" max="31" width="9" style="158" bestFit="1" customWidth="1"/>
    <col min="32" max="16384" width="5.90625" style="158"/>
  </cols>
  <sheetData>
    <row r="1" spans="1:28" s="874" customFormat="1" ht="16.2">
      <c r="A1" s="873" t="s">
        <v>1000</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8"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2645</v>
      </c>
      <c r="P2" s="875"/>
      <c r="Q2" s="875"/>
      <c r="R2" s="875"/>
      <c r="S2" s="875"/>
      <c r="U2" s="873"/>
    </row>
    <row r="3" spans="1:28" s="460" customFormat="1">
      <c r="C3" s="461"/>
      <c r="D3" s="461"/>
      <c r="F3" s="461"/>
      <c r="H3" s="461"/>
      <c r="K3" s="461"/>
      <c r="M3" s="461"/>
      <c r="P3" s="461"/>
    </row>
    <row r="4" spans="1:28" s="142" customFormat="1">
      <c r="A4" s="141" t="s">
        <v>976</v>
      </c>
    </row>
    <row r="5" spans="1:28" s="460" customFormat="1">
      <c r="C5" s="461"/>
      <c r="D5" s="461"/>
      <c r="F5" s="461"/>
      <c r="H5" s="461"/>
      <c r="K5" s="461"/>
      <c r="M5" s="461"/>
      <c r="P5" s="461"/>
    </row>
    <row r="6" spans="1:28" s="460" customFormat="1">
      <c r="C6" s="460" t="s">
        <v>358</v>
      </c>
      <c r="D6" s="145" t="s">
        <v>382</v>
      </c>
      <c r="F6" s="146"/>
      <c r="H6" s="146"/>
      <c r="K6" s="146"/>
      <c r="M6" s="146"/>
      <c r="P6" s="146"/>
    </row>
    <row r="7" spans="1:28" s="147" customFormat="1">
      <c r="P7" s="154"/>
    </row>
    <row r="8" spans="1:28" s="149" customFormat="1">
      <c r="A8" s="148"/>
      <c r="C8" s="149" t="s">
        <v>356</v>
      </c>
      <c r="E8" s="150"/>
      <c r="F8" s="150"/>
      <c r="G8" s="150"/>
      <c r="H8" s="150"/>
      <c r="I8" s="150"/>
      <c r="J8" s="150"/>
      <c r="K8" s="150"/>
      <c r="L8" s="150"/>
      <c r="M8" s="150"/>
      <c r="N8" s="150"/>
    </row>
    <row r="9" spans="1:28" s="147" customFormat="1">
      <c r="P9" s="154"/>
    </row>
    <row r="10" spans="1:28" s="147" customFormat="1">
      <c r="C10" s="151" t="s">
        <v>383</v>
      </c>
      <c r="D10" s="151"/>
      <c r="H10" s="152" t="s">
        <v>384</v>
      </c>
      <c r="M10" s="152" t="s">
        <v>384</v>
      </c>
    </row>
    <row r="11" spans="1:28" s="147" customFormat="1">
      <c r="C11" s="153"/>
      <c r="D11" s="154" t="s">
        <v>385</v>
      </c>
      <c r="H11" s="459"/>
      <c r="I11" s="154" t="s">
        <v>386</v>
      </c>
      <c r="M11" s="459"/>
      <c r="N11" s="154" t="s">
        <v>386</v>
      </c>
    </row>
    <row r="12" spans="1:28" s="147" customFormat="1">
      <c r="C12" s="156"/>
      <c r="D12" s="154" t="s">
        <v>354</v>
      </c>
    </row>
    <row r="13" spans="1:28" s="147" customFormat="1">
      <c r="C13" s="157"/>
      <c r="D13" s="154" t="s">
        <v>387</v>
      </c>
    </row>
    <row r="14" spans="1:28">
      <c r="B14" s="159"/>
      <c r="D14" s="160"/>
      <c r="E14" s="161"/>
      <c r="F14" s="161"/>
      <c r="G14" s="161"/>
      <c r="H14" s="161"/>
      <c r="I14" s="161"/>
      <c r="J14" s="161"/>
      <c r="K14" s="161"/>
      <c r="L14" s="161"/>
      <c r="M14" s="161"/>
      <c r="N14" s="161"/>
    </row>
    <row r="15" spans="1:28" s="149" customFormat="1" ht="20.100000000000001" customHeight="1">
      <c r="C15" s="162" t="s">
        <v>113</v>
      </c>
      <c r="D15" s="163"/>
      <c r="E15" s="163"/>
      <c r="F15" s="163"/>
      <c r="G15" s="163"/>
      <c r="H15" s="163"/>
      <c r="I15" s="163"/>
      <c r="J15" s="163"/>
      <c r="K15" s="163"/>
      <c r="L15" s="163"/>
      <c r="M15" s="163"/>
      <c r="N15" s="163"/>
      <c r="O15" s="163"/>
      <c r="P15" s="163"/>
      <c r="Q15" s="163"/>
      <c r="R15" s="163"/>
      <c r="S15" s="163"/>
      <c r="T15" s="163"/>
      <c r="U15" s="163"/>
      <c r="V15" s="163"/>
      <c r="X15" s="163"/>
      <c r="AB15" s="163"/>
    </row>
    <row r="16" spans="1:28" s="147" customFormat="1">
      <c r="P16" s="154"/>
    </row>
    <row r="17" spans="1:31" s="149" customFormat="1">
      <c r="A17" s="148"/>
      <c r="C17" s="149" t="s">
        <v>428</v>
      </c>
      <c r="E17" s="150"/>
      <c r="F17" s="150"/>
      <c r="G17" s="150"/>
      <c r="H17" s="150"/>
      <c r="I17" s="150"/>
      <c r="J17" s="150"/>
      <c r="K17" s="150"/>
      <c r="L17" s="150"/>
      <c r="M17" s="150"/>
      <c r="N17" s="150"/>
    </row>
    <row r="18" spans="1:31">
      <c r="B18" s="159"/>
      <c r="D18" s="160"/>
      <c r="E18" s="161"/>
      <c r="F18" s="161"/>
      <c r="G18" s="161"/>
      <c r="H18" s="161"/>
      <c r="I18" s="161"/>
      <c r="J18" s="161"/>
      <c r="K18" s="161"/>
      <c r="L18" s="161"/>
      <c r="M18" s="161"/>
      <c r="N18" s="161"/>
      <c r="Y18" s="149"/>
    </row>
    <row r="19" spans="1:31">
      <c r="B19" s="159"/>
      <c r="C19" s="158" t="s">
        <v>975</v>
      </c>
      <c r="D19" s="171" t="s">
        <v>1000</v>
      </c>
      <c r="E19" s="161"/>
      <c r="F19" s="161"/>
      <c r="G19" s="161"/>
      <c r="H19" s="161"/>
      <c r="I19" s="161"/>
      <c r="J19" s="161"/>
      <c r="K19" s="161"/>
      <c r="L19" s="161"/>
      <c r="M19" s="161"/>
      <c r="N19" s="161"/>
    </row>
    <row r="20" spans="1:31" s="147" customFormat="1" ht="6" customHeight="1"/>
    <row r="21" spans="1:31">
      <c r="B21" s="159"/>
      <c r="C21" s="158" t="s">
        <v>973</v>
      </c>
      <c r="D21" s="430">
        <f>xxSim0Tool1</f>
        <v>1</v>
      </c>
      <c r="E21" s="458" t="s">
        <v>972</v>
      </c>
      <c r="F21" s="161"/>
      <c r="G21" s="161"/>
      <c r="H21" s="161"/>
      <c r="I21" s="161"/>
      <c r="J21" s="458" t="s">
        <v>972</v>
      </c>
      <c r="K21" s="161"/>
      <c r="L21" s="161"/>
      <c r="M21" s="161"/>
      <c r="N21" s="161"/>
    </row>
    <row r="22" spans="1:31" s="147" customFormat="1" ht="6" customHeight="1"/>
    <row r="23" spans="1:31">
      <c r="B23" s="159"/>
      <c r="C23" s="158" t="s">
        <v>971</v>
      </c>
      <c r="D23" s="430">
        <f>xxRound</f>
        <v>1</v>
      </c>
      <c r="E23" s="458" t="s">
        <v>970</v>
      </c>
      <c r="F23" s="161"/>
      <c r="G23" s="161"/>
      <c r="H23" s="161"/>
      <c r="I23" s="161"/>
      <c r="J23" s="458" t="s">
        <v>970</v>
      </c>
      <c r="K23" s="161"/>
      <c r="L23" s="161"/>
      <c r="M23" s="161"/>
      <c r="N23" s="161"/>
    </row>
    <row r="24" spans="1:31" s="147" customFormat="1">
      <c r="P24" s="154"/>
    </row>
    <row r="25" spans="1:31" s="149" customFormat="1">
      <c r="A25" s="148"/>
      <c r="C25" s="149" t="s">
        <v>969</v>
      </c>
      <c r="E25" s="150"/>
      <c r="F25" s="150"/>
      <c r="G25" s="150"/>
      <c r="H25" s="150"/>
      <c r="I25" s="150"/>
      <c r="J25" s="150"/>
      <c r="K25" s="150"/>
      <c r="L25" s="150"/>
      <c r="M25" s="150"/>
      <c r="N25" s="150"/>
    </row>
    <row r="26" spans="1:31">
      <c r="B26" s="159"/>
      <c r="C26" s="457" t="s">
        <v>968</v>
      </c>
      <c r="D26" s="160"/>
      <c r="E26" s="161"/>
      <c r="F26" s="161"/>
      <c r="G26" s="161"/>
      <c r="H26" s="161"/>
      <c r="I26" s="161"/>
      <c r="J26" s="161"/>
      <c r="K26" s="161"/>
      <c r="L26" s="161"/>
      <c r="M26" s="161"/>
      <c r="N26" s="161"/>
    </row>
    <row r="27" spans="1:31">
      <c r="B27" s="159"/>
      <c r="D27" s="160"/>
      <c r="E27" s="161"/>
      <c r="F27" s="161"/>
      <c r="G27" s="161"/>
      <c r="H27" s="161"/>
      <c r="I27" s="161"/>
      <c r="J27" s="161"/>
      <c r="K27" s="161"/>
      <c r="L27" s="161"/>
      <c r="M27" s="161"/>
      <c r="N27" s="161"/>
    </row>
    <row r="28" spans="1:31" s="147" customFormat="1">
      <c r="C28" s="147" t="str">
        <f>"Opening "&amp;$D$19</f>
        <v>Opening Execution</v>
      </c>
      <c r="E28" s="478">
        <f t="shared" ref="E28:N28" si="0">obalExecution</f>
        <v>0.7</v>
      </c>
      <c r="F28" s="478">
        <f t="shared" si="0"/>
        <v>0.7</v>
      </c>
      <c r="G28" s="478">
        <f t="shared" si="0"/>
        <v>0.7</v>
      </c>
      <c r="H28" s="478">
        <f t="shared" si="0"/>
        <v>0.7</v>
      </c>
      <c r="I28" s="478">
        <f t="shared" si="0"/>
        <v>0.7</v>
      </c>
      <c r="J28" s="478">
        <f t="shared" si="0"/>
        <v>0.7</v>
      </c>
      <c r="K28" s="478">
        <f t="shared" si="0"/>
        <v>0.7</v>
      </c>
      <c r="L28" s="478">
        <f t="shared" si="0"/>
        <v>0.7</v>
      </c>
      <c r="M28" s="478">
        <f t="shared" si="0"/>
        <v>0.7</v>
      </c>
      <c r="N28" s="478">
        <f t="shared" si="0"/>
        <v>0.7</v>
      </c>
      <c r="O28" s="428" t="s">
        <v>967</v>
      </c>
    </row>
    <row r="29" spans="1:31" s="147" customFormat="1"/>
    <row r="30" spans="1:31" s="147" customFormat="1">
      <c r="C30" s="151" t="s">
        <v>966</v>
      </c>
      <c r="E30" s="1305" t="s">
        <v>965</v>
      </c>
      <c r="F30" s="1305"/>
      <c r="G30" s="1305"/>
      <c r="H30" s="1305"/>
      <c r="I30" s="1305"/>
      <c r="J30" s="1305" t="s">
        <v>965</v>
      </c>
      <c r="K30" s="1305"/>
      <c r="L30" s="1305"/>
      <c r="M30" s="1305"/>
      <c r="N30" s="1305"/>
      <c r="O30" s="151"/>
      <c r="P30" s="151" t="s">
        <v>964</v>
      </c>
      <c r="Q30" s="151"/>
      <c r="R30" s="151" t="s">
        <v>963</v>
      </c>
      <c r="X30" s="151"/>
      <c r="Y30" s="151" t="s">
        <v>962</v>
      </c>
      <c r="AB30" s="151"/>
      <c r="AC30" s="151" t="s">
        <v>961</v>
      </c>
    </row>
    <row r="31" spans="1:31" s="147" customFormat="1" ht="6" customHeight="1">
      <c r="R31" s="456"/>
      <c r="S31" s="455"/>
      <c r="T31" s="455"/>
      <c r="U31" s="455"/>
      <c r="V31" s="455"/>
      <c r="W31" s="454"/>
      <c r="Y31" s="456"/>
      <c r="Z31" s="455"/>
      <c r="AA31" s="454"/>
    </row>
    <row r="32" spans="1:31" s="147" customFormat="1">
      <c r="C32" s="700" t="s">
        <v>1646</v>
      </c>
      <c r="D32" s="147" t="s">
        <v>952</v>
      </c>
      <c r="E32" s="453">
        <v>5</v>
      </c>
      <c r="F32" s="452">
        <v>5</v>
      </c>
      <c r="G32" s="452">
        <v>5</v>
      </c>
      <c r="H32" s="452">
        <v>5</v>
      </c>
      <c r="I32" s="452">
        <v>5</v>
      </c>
      <c r="J32" s="452">
        <v>5</v>
      </c>
      <c r="K32" s="452">
        <v>5</v>
      </c>
      <c r="L32" s="452">
        <v>5</v>
      </c>
      <c r="M32" s="452">
        <v>5</v>
      </c>
      <c r="N32" s="452">
        <v>5</v>
      </c>
      <c r="P32" s="451" t="s">
        <v>959</v>
      </c>
      <c r="R32" s="449" t="s">
        <v>784</v>
      </c>
      <c r="S32" s="448" t="s">
        <v>783</v>
      </c>
      <c r="T32" s="448" t="s">
        <v>782</v>
      </c>
      <c r="U32" s="448" t="s">
        <v>781</v>
      </c>
      <c r="V32" s="448" t="s">
        <v>780</v>
      </c>
      <c r="W32" s="450" t="s">
        <v>779</v>
      </c>
      <c r="Y32" s="449" t="s">
        <v>951</v>
      </c>
      <c r="Z32" s="448" t="s">
        <v>114</v>
      </c>
      <c r="AA32" s="438"/>
      <c r="AC32" s="456"/>
      <c r="AD32" s="455" t="s">
        <v>951</v>
      </c>
      <c r="AE32" s="454" t="s">
        <v>114</v>
      </c>
    </row>
    <row r="33" spans="3:33" s="147" customFormat="1">
      <c r="D33" s="147" t="s">
        <v>950</v>
      </c>
      <c r="E33" s="443">
        <v>3</v>
      </c>
      <c r="F33" s="442">
        <v>3</v>
      </c>
      <c r="G33" s="442">
        <v>3</v>
      </c>
      <c r="H33" s="442">
        <v>3</v>
      </c>
      <c r="I33" s="442">
        <v>3</v>
      </c>
      <c r="J33" s="442">
        <v>3</v>
      </c>
      <c r="K33" s="442">
        <v>3</v>
      </c>
      <c r="L33" s="442">
        <v>3</v>
      </c>
      <c r="M33" s="442">
        <v>3</v>
      </c>
      <c r="N33" s="442">
        <v>3</v>
      </c>
      <c r="P33" s="447" t="s">
        <v>191</v>
      </c>
      <c r="R33" s="445">
        <v>-3</v>
      </c>
      <c r="S33" s="436">
        <v>-1</v>
      </c>
      <c r="T33" s="436">
        <v>-0.5</v>
      </c>
      <c r="U33" s="436">
        <v>0</v>
      </c>
      <c r="V33" s="436">
        <v>1</v>
      </c>
      <c r="W33" s="446">
        <v>3</v>
      </c>
      <c r="Y33" s="445">
        <v>2</v>
      </c>
      <c r="Z33" s="444">
        <v>1</v>
      </c>
      <c r="AA33" s="438"/>
      <c r="AC33" s="437" t="s">
        <v>949</v>
      </c>
      <c r="AD33" s="436">
        <v>2</v>
      </c>
      <c r="AE33" s="435">
        <v>1</v>
      </c>
      <c r="AF33" s="434"/>
      <c r="AG33" s="434"/>
    </row>
    <row r="34" spans="3:33" s="147" customFormat="1">
      <c r="D34" s="147" t="s">
        <v>948</v>
      </c>
      <c r="E34" s="443">
        <f>IF(xxNumOfTeams&gt;0,cbalInternalReadiness,0)</f>
        <v>100.785</v>
      </c>
      <c r="F34" s="442">
        <f>IF(xxNumOfTeams&gt;1,cbalInternalReadiness,0)</f>
        <v>100.785</v>
      </c>
      <c r="G34" s="442">
        <f>IF(xxNumOfTeams&gt;2,cbalInternalReadiness,0)</f>
        <v>100.785</v>
      </c>
      <c r="H34" s="442">
        <f>IF(xxNumOfTeams&gt;3,cbalInternalReadiness,0)</f>
        <v>100.785</v>
      </c>
      <c r="I34" s="442">
        <f>IF(xxNumOfTeams&gt;4,cbalInternalReadiness,0)</f>
        <v>100.785</v>
      </c>
      <c r="J34" s="442">
        <f>IF(xxNumOfTeams&gt;5,cbalInternalReadiness,0)</f>
        <v>100.785</v>
      </c>
      <c r="K34" s="442">
        <f>IF(xxNumOfTeams&gt;6,cbalInternalReadiness,0)</f>
        <v>100.785</v>
      </c>
      <c r="L34" s="442">
        <f>IF(xxNumOfTeams&gt;7,cbalInternalReadiness,0)</f>
        <v>100.785</v>
      </c>
      <c r="M34" s="442">
        <f>IF(xxNumOfTeams&gt;8,cbalInternalReadiness,0)</f>
        <v>100.785</v>
      </c>
      <c r="N34" s="442">
        <f>IF(xxNumOfTeams&gt;9,cbalInternalReadiness,0)</f>
        <v>100.785</v>
      </c>
      <c r="P34" s="441">
        <v>1</v>
      </c>
      <c r="R34" s="437"/>
      <c r="S34" s="433"/>
      <c r="T34" s="433"/>
      <c r="U34" s="433"/>
      <c r="V34" s="433"/>
      <c r="W34" s="438"/>
      <c r="Y34" s="437"/>
      <c r="Z34" s="433"/>
      <c r="AA34" s="438"/>
      <c r="AC34" s="437" t="s">
        <v>947</v>
      </c>
      <c r="AD34" s="436">
        <v>-0.3</v>
      </c>
      <c r="AE34" s="435">
        <v>2</v>
      </c>
      <c r="AF34" s="434"/>
      <c r="AG34" s="434"/>
    </row>
    <row r="35" spans="3:33" s="147" customFormat="1">
      <c r="D35" s="147" t="s">
        <v>946</v>
      </c>
      <c r="E35" s="1112">
        <f t="shared" ref="E35:N35" si="1">(cbalInternalReadiness-obalInternalReadiness)*$R35</f>
        <v>2.3549999999999899E-3</v>
      </c>
      <c r="F35" s="1113">
        <f t="shared" si="1"/>
        <v>2.3549999999999899E-3</v>
      </c>
      <c r="G35" s="1113">
        <f t="shared" si="1"/>
        <v>2.3549999999999899E-3</v>
      </c>
      <c r="H35" s="1113">
        <f t="shared" si="1"/>
        <v>2.3549999999999899E-3</v>
      </c>
      <c r="I35" s="1113">
        <f t="shared" si="1"/>
        <v>2.3549999999999899E-3</v>
      </c>
      <c r="J35" s="1113">
        <f t="shared" si="1"/>
        <v>2.3549999999999899E-3</v>
      </c>
      <c r="K35" s="1113">
        <f t="shared" si="1"/>
        <v>2.3549999999999899E-3</v>
      </c>
      <c r="L35" s="1113">
        <f t="shared" si="1"/>
        <v>2.3549999999999899E-3</v>
      </c>
      <c r="M35" s="1113">
        <f t="shared" si="1"/>
        <v>2.3549999999999899E-3</v>
      </c>
      <c r="N35" s="1113">
        <f t="shared" si="1"/>
        <v>2.3549999999999899E-3</v>
      </c>
      <c r="O35" s="428"/>
      <c r="R35" s="947">
        <v>3.0000000000000001E-3</v>
      </c>
      <c r="S35" s="433"/>
      <c r="T35" s="433"/>
      <c r="U35" s="433"/>
      <c r="V35" s="433"/>
      <c r="W35" s="438"/>
      <c r="Y35" s="437"/>
      <c r="Z35" s="433"/>
      <c r="AA35" s="438"/>
      <c r="AC35" s="437"/>
      <c r="AD35" s="436"/>
      <c r="AE35" s="435"/>
      <c r="AF35" s="434"/>
      <c r="AG35" s="434"/>
    </row>
    <row r="36" spans="3:33" s="147" customFormat="1">
      <c r="E36" s="433"/>
      <c r="F36" s="433"/>
      <c r="G36" s="433"/>
      <c r="H36" s="433"/>
      <c r="I36" s="433"/>
      <c r="J36" s="433"/>
      <c r="K36" s="433"/>
      <c r="L36" s="433"/>
      <c r="M36" s="433"/>
      <c r="N36" s="433"/>
      <c r="R36" s="944"/>
      <c r="S36" s="433"/>
      <c r="T36" s="433"/>
      <c r="U36" s="433"/>
      <c r="V36" s="433"/>
      <c r="W36" s="438"/>
      <c r="Y36" s="437"/>
      <c r="Z36" s="433"/>
      <c r="AA36" s="438"/>
      <c r="AC36" s="437"/>
      <c r="AD36" s="433"/>
      <c r="AE36" s="438"/>
    </row>
    <row r="37" spans="3:33" s="147" customFormat="1">
      <c r="C37" s="700" t="s">
        <v>458</v>
      </c>
      <c r="D37" s="147" t="s">
        <v>952</v>
      </c>
      <c r="E37" s="453">
        <f t="shared" ref="E37:N37" si="2">IF(xxNumOfTeams&gt;0,obalCollab,0)</f>
        <v>50</v>
      </c>
      <c r="F37" s="452">
        <f t="shared" si="2"/>
        <v>50</v>
      </c>
      <c r="G37" s="452">
        <f t="shared" si="2"/>
        <v>50</v>
      </c>
      <c r="H37" s="452">
        <f t="shared" si="2"/>
        <v>50</v>
      </c>
      <c r="I37" s="452">
        <f t="shared" si="2"/>
        <v>50</v>
      </c>
      <c r="J37" s="452">
        <f t="shared" si="2"/>
        <v>50</v>
      </c>
      <c r="K37" s="452">
        <f t="shared" si="2"/>
        <v>50</v>
      </c>
      <c r="L37" s="452">
        <f t="shared" si="2"/>
        <v>50</v>
      </c>
      <c r="M37" s="452">
        <f t="shared" si="2"/>
        <v>50</v>
      </c>
      <c r="N37" s="452">
        <f t="shared" si="2"/>
        <v>50</v>
      </c>
      <c r="P37" s="451" t="s">
        <v>959</v>
      </c>
      <c r="R37" s="945" t="s">
        <v>784</v>
      </c>
      <c r="S37" s="448" t="s">
        <v>783</v>
      </c>
      <c r="T37" s="448" t="s">
        <v>782</v>
      </c>
      <c r="U37" s="448" t="s">
        <v>781</v>
      </c>
      <c r="V37" s="448" t="s">
        <v>780</v>
      </c>
      <c r="W37" s="450" t="s">
        <v>779</v>
      </c>
      <c r="Y37" s="449" t="s">
        <v>951</v>
      </c>
      <c r="Z37" s="448" t="s">
        <v>114</v>
      </c>
      <c r="AA37" s="438"/>
      <c r="AC37" s="437"/>
      <c r="AD37" s="433" t="s">
        <v>951</v>
      </c>
      <c r="AE37" s="438" t="s">
        <v>114</v>
      </c>
    </row>
    <row r="38" spans="3:33" s="147" customFormat="1">
      <c r="D38" s="147" t="s">
        <v>950</v>
      </c>
      <c r="E38" s="443">
        <v>3</v>
      </c>
      <c r="F38" s="442">
        <v>3</v>
      </c>
      <c r="G38" s="442">
        <v>3</v>
      </c>
      <c r="H38" s="442">
        <v>3</v>
      </c>
      <c r="I38" s="442">
        <v>3</v>
      </c>
      <c r="J38" s="442">
        <v>3</v>
      </c>
      <c r="K38" s="442">
        <v>3</v>
      </c>
      <c r="L38" s="442">
        <v>3</v>
      </c>
      <c r="M38" s="442">
        <v>3</v>
      </c>
      <c r="N38" s="442">
        <v>3</v>
      </c>
      <c r="P38" s="447" t="s">
        <v>191</v>
      </c>
      <c r="R38" s="946">
        <v>-3</v>
      </c>
      <c r="S38" s="436">
        <v>-1</v>
      </c>
      <c r="T38" s="436">
        <v>-0.5</v>
      </c>
      <c r="U38" s="436">
        <v>0</v>
      </c>
      <c r="V38" s="436">
        <v>1</v>
      </c>
      <c r="W38" s="446">
        <v>3</v>
      </c>
      <c r="Y38" s="445">
        <v>2</v>
      </c>
      <c r="Z38" s="444">
        <v>1</v>
      </c>
      <c r="AA38" s="438"/>
      <c r="AC38" s="437" t="s">
        <v>949</v>
      </c>
      <c r="AD38" s="436">
        <v>2</v>
      </c>
      <c r="AE38" s="435">
        <v>1</v>
      </c>
    </row>
    <row r="39" spans="3:33" s="147" customFormat="1">
      <c r="D39" s="147" t="s">
        <v>948</v>
      </c>
      <c r="E39" s="443">
        <f t="shared" ref="E39:N39" ca="1" si="3">IF(xxNumOfTeams&gt;0,cbalCollab,0)</f>
        <v>9</v>
      </c>
      <c r="F39" s="442">
        <f t="shared" ca="1" si="3"/>
        <v>9</v>
      </c>
      <c r="G39" s="442">
        <f t="shared" ca="1" si="3"/>
        <v>9</v>
      </c>
      <c r="H39" s="442">
        <f t="shared" ca="1" si="3"/>
        <v>9</v>
      </c>
      <c r="I39" s="442">
        <f t="shared" ca="1" si="3"/>
        <v>9</v>
      </c>
      <c r="J39" s="442">
        <f t="shared" ca="1" si="3"/>
        <v>9</v>
      </c>
      <c r="K39" s="442">
        <f t="shared" ca="1" si="3"/>
        <v>9</v>
      </c>
      <c r="L39" s="442">
        <f t="shared" ca="1" si="3"/>
        <v>9</v>
      </c>
      <c r="M39" s="442">
        <f t="shared" ca="1" si="3"/>
        <v>9</v>
      </c>
      <c r="N39" s="442">
        <f t="shared" ca="1" si="3"/>
        <v>9</v>
      </c>
      <c r="P39" s="441">
        <v>1</v>
      </c>
      <c r="R39" s="944"/>
      <c r="S39" s="433"/>
      <c r="T39" s="433"/>
      <c r="U39" s="433"/>
      <c r="V39" s="433"/>
      <c r="W39" s="438"/>
      <c r="Y39" s="437"/>
      <c r="Z39" s="433"/>
      <c r="AA39" s="438"/>
      <c r="AC39" s="437" t="s">
        <v>947</v>
      </c>
      <c r="AD39" s="436">
        <v>-0.3</v>
      </c>
      <c r="AE39" s="435">
        <v>2</v>
      </c>
    </row>
    <row r="40" spans="3:33" s="147" customFormat="1">
      <c r="D40" s="147" t="s">
        <v>946</v>
      </c>
      <c r="E40" s="1112">
        <f t="shared" ref="E40:N40" ca="1" si="4">(cbalCollab-obalCollab)*$R40</f>
        <v>-2.0500000000000001E-2</v>
      </c>
      <c r="F40" s="1113">
        <f t="shared" ca="1" si="4"/>
        <v>-2.0500000000000001E-2</v>
      </c>
      <c r="G40" s="1113">
        <f t="shared" ca="1" si="4"/>
        <v>-2.0500000000000001E-2</v>
      </c>
      <c r="H40" s="1113">
        <f t="shared" ca="1" si="4"/>
        <v>-2.0500000000000001E-2</v>
      </c>
      <c r="I40" s="1113">
        <f t="shared" ca="1" si="4"/>
        <v>-2.0500000000000001E-2</v>
      </c>
      <c r="J40" s="1113">
        <f t="shared" ca="1" si="4"/>
        <v>-2.0500000000000001E-2</v>
      </c>
      <c r="K40" s="1113">
        <f t="shared" ca="1" si="4"/>
        <v>-2.0500000000000001E-2</v>
      </c>
      <c r="L40" s="1113">
        <f t="shared" ca="1" si="4"/>
        <v>-2.0500000000000001E-2</v>
      </c>
      <c r="M40" s="1113">
        <f t="shared" ca="1" si="4"/>
        <v>-2.0500000000000001E-2</v>
      </c>
      <c r="N40" s="1113">
        <f t="shared" ca="1" si="4"/>
        <v>-2.0500000000000001E-2</v>
      </c>
      <c r="O40" s="428"/>
      <c r="R40" s="947">
        <v>5.0000000000000001E-4</v>
      </c>
      <c r="S40" s="433"/>
      <c r="T40" s="433"/>
      <c r="U40" s="433"/>
      <c r="V40" s="433"/>
      <c r="W40" s="438"/>
      <c r="Y40" s="437"/>
      <c r="Z40" s="433"/>
      <c r="AA40" s="438"/>
      <c r="AC40" s="437"/>
      <c r="AD40" s="436"/>
      <c r="AE40" s="435"/>
      <c r="AF40" s="434"/>
      <c r="AG40" s="434"/>
    </row>
    <row r="41" spans="3:33" s="147" customFormat="1">
      <c r="E41" s="433"/>
      <c r="F41" s="433"/>
      <c r="G41" s="433"/>
      <c r="H41" s="433"/>
      <c r="I41" s="433"/>
      <c r="J41" s="433"/>
      <c r="K41" s="433"/>
      <c r="L41" s="433"/>
      <c r="M41" s="433"/>
      <c r="N41" s="433"/>
      <c r="R41" s="437"/>
      <c r="S41" s="433"/>
      <c r="T41" s="433"/>
      <c r="U41" s="433"/>
      <c r="V41" s="433"/>
      <c r="W41" s="438"/>
      <c r="Y41" s="437"/>
      <c r="Z41" s="433"/>
      <c r="AA41" s="438"/>
      <c r="AC41" s="437"/>
      <c r="AD41" s="433"/>
      <c r="AE41" s="438"/>
    </row>
    <row r="42" spans="3:33" s="147" customFormat="1">
      <c r="C42" s="700" t="s">
        <v>118</v>
      </c>
      <c r="D42" s="147" t="s">
        <v>952</v>
      </c>
      <c r="E42" s="453">
        <v>5</v>
      </c>
      <c r="F42" s="452">
        <v>5</v>
      </c>
      <c r="G42" s="452">
        <v>5</v>
      </c>
      <c r="H42" s="452">
        <v>5</v>
      </c>
      <c r="I42" s="452">
        <v>5</v>
      </c>
      <c r="J42" s="452">
        <v>5</v>
      </c>
      <c r="K42" s="452">
        <v>5</v>
      </c>
      <c r="L42" s="452">
        <v>5</v>
      </c>
      <c r="M42" s="452">
        <v>5</v>
      </c>
      <c r="N42" s="452">
        <v>5</v>
      </c>
      <c r="P42" s="451"/>
      <c r="R42" s="449" t="s">
        <v>784</v>
      </c>
      <c r="S42" s="448" t="s">
        <v>783</v>
      </c>
      <c r="T42" s="448" t="s">
        <v>782</v>
      </c>
      <c r="U42" s="448" t="s">
        <v>781</v>
      </c>
      <c r="V42" s="448" t="s">
        <v>780</v>
      </c>
      <c r="W42" s="450" t="s">
        <v>779</v>
      </c>
      <c r="Y42" s="449" t="s">
        <v>951</v>
      </c>
      <c r="Z42" s="448" t="s">
        <v>114</v>
      </c>
      <c r="AA42" s="438"/>
      <c r="AC42" s="437"/>
      <c r="AD42" s="433" t="s">
        <v>951</v>
      </c>
      <c r="AE42" s="438" t="s">
        <v>114</v>
      </c>
    </row>
    <row r="43" spans="3:33" s="147" customFormat="1">
      <c r="D43" s="147" t="s">
        <v>950</v>
      </c>
      <c r="E43" s="443">
        <v>3</v>
      </c>
      <c r="F43" s="442">
        <v>3</v>
      </c>
      <c r="G43" s="442">
        <v>3</v>
      </c>
      <c r="H43" s="442">
        <v>3</v>
      </c>
      <c r="I43" s="442">
        <v>3</v>
      </c>
      <c r="J43" s="442">
        <v>3</v>
      </c>
      <c r="K43" s="442">
        <v>3</v>
      </c>
      <c r="L43" s="442">
        <v>3</v>
      </c>
      <c r="M43" s="442">
        <v>3</v>
      </c>
      <c r="N43" s="442">
        <v>3</v>
      </c>
      <c r="P43" s="447" t="s">
        <v>191</v>
      </c>
      <c r="R43" s="445">
        <v>-3</v>
      </c>
      <c r="S43" s="436">
        <v>-1</v>
      </c>
      <c r="T43" s="436">
        <v>-0.5</v>
      </c>
      <c r="U43" s="436">
        <v>0</v>
      </c>
      <c r="V43" s="436">
        <v>1</v>
      </c>
      <c r="W43" s="446">
        <v>3</v>
      </c>
      <c r="Y43" s="445">
        <v>2</v>
      </c>
      <c r="Z43" s="444">
        <v>1</v>
      </c>
      <c r="AA43" s="438"/>
      <c r="AC43" s="437" t="s">
        <v>949</v>
      </c>
      <c r="AD43" s="436">
        <v>2</v>
      </c>
      <c r="AE43" s="435">
        <v>1</v>
      </c>
    </row>
    <row r="44" spans="3:33" s="147" customFormat="1">
      <c r="D44" s="147" t="s">
        <v>948</v>
      </c>
      <c r="E44" s="443">
        <f t="shared" ref="E44:N44" si="5">E43+E42</f>
        <v>8</v>
      </c>
      <c r="F44" s="442">
        <f t="shared" si="5"/>
        <v>8</v>
      </c>
      <c r="G44" s="442">
        <f t="shared" si="5"/>
        <v>8</v>
      </c>
      <c r="H44" s="442">
        <f t="shared" si="5"/>
        <v>8</v>
      </c>
      <c r="I44" s="442">
        <f t="shared" si="5"/>
        <v>8</v>
      </c>
      <c r="J44" s="442">
        <f t="shared" si="5"/>
        <v>8</v>
      </c>
      <c r="K44" s="442">
        <f t="shared" si="5"/>
        <v>8</v>
      </c>
      <c r="L44" s="442">
        <f t="shared" si="5"/>
        <v>8</v>
      </c>
      <c r="M44" s="442">
        <f t="shared" si="5"/>
        <v>8</v>
      </c>
      <c r="N44" s="442">
        <f t="shared" si="5"/>
        <v>8</v>
      </c>
      <c r="P44" s="441">
        <v>1</v>
      </c>
      <c r="R44" s="437"/>
      <c r="S44" s="433"/>
      <c r="T44" s="433"/>
      <c r="U44" s="433"/>
      <c r="V44" s="433"/>
      <c r="W44" s="438"/>
      <c r="Y44" s="437"/>
      <c r="Z44" s="433"/>
      <c r="AA44" s="438"/>
      <c r="AC44" s="437" t="s">
        <v>947</v>
      </c>
      <c r="AD44" s="436">
        <v>-0.3</v>
      </c>
      <c r="AE44" s="435">
        <v>2</v>
      </c>
    </row>
    <row r="45" spans="3:33" s="147" customFormat="1">
      <c r="D45" s="147" t="s">
        <v>946</v>
      </c>
      <c r="E45" s="440"/>
      <c r="F45" s="439"/>
      <c r="G45" s="439"/>
      <c r="H45" s="439"/>
      <c r="I45" s="439"/>
      <c r="J45" s="439"/>
      <c r="K45" s="439"/>
      <c r="L45" s="439"/>
      <c r="M45" s="439"/>
      <c r="N45" s="439"/>
      <c r="O45" s="428"/>
      <c r="R45" s="437"/>
      <c r="S45" s="433"/>
      <c r="T45" s="433"/>
      <c r="U45" s="433"/>
      <c r="V45" s="433"/>
      <c r="W45" s="438"/>
      <c r="Y45" s="437"/>
      <c r="Z45" s="433"/>
      <c r="AA45" s="438"/>
      <c r="AC45" s="437"/>
      <c r="AD45" s="436"/>
      <c r="AE45" s="435"/>
      <c r="AF45" s="434"/>
      <c r="AG45" s="434"/>
    </row>
    <row r="46" spans="3:33" s="147" customFormat="1">
      <c r="E46" s="433"/>
      <c r="F46" s="433"/>
      <c r="G46" s="433"/>
      <c r="H46" s="433"/>
      <c r="I46" s="433"/>
      <c r="J46" s="433"/>
      <c r="K46" s="433"/>
      <c r="L46" s="433"/>
      <c r="M46" s="433"/>
      <c r="N46" s="433"/>
      <c r="R46" s="437"/>
      <c r="S46" s="433"/>
      <c r="T46" s="433"/>
      <c r="U46" s="433"/>
      <c r="V46" s="433"/>
      <c r="W46" s="438"/>
      <c r="Y46" s="437"/>
      <c r="Z46" s="433"/>
      <c r="AA46" s="438"/>
      <c r="AC46" s="437"/>
      <c r="AD46" s="433"/>
      <c r="AE46" s="438"/>
    </row>
    <row r="47" spans="3:33" s="147" customFormat="1">
      <c r="C47" s="153" t="s">
        <v>960</v>
      </c>
      <c r="D47" s="147" t="s">
        <v>952</v>
      </c>
      <c r="E47" s="453">
        <v>5</v>
      </c>
      <c r="F47" s="452">
        <v>5</v>
      </c>
      <c r="G47" s="452">
        <v>5</v>
      </c>
      <c r="H47" s="452">
        <v>5</v>
      </c>
      <c r="I47" s="452">
        <v>5</v>
      </c>
      <c r="J47" s="452">
        <v>5</v>
      </c>
      <c r="K47" s="452">
        <v>5</v>
      </c>
      <c r="L47" s="452">
        <v>5</v>
      </c>
      <c r="M47" s="452">
        <v>5</v>
      </c>
      <c r="N47" s="452">
        <v>5</v>
      </c>
      <c r="P47" s="451"/>
      <c r="R47" s="449" t="s">
        <v>784</v>
      </c>
      <c r="S47" s="448" t="s">
        <v>783</v>
      </c>
      <c r="T47" s="448" t="s">
        <v>782</v>
      </c>
      <c r="U47" s="448" t="s">
        <v>781</v>
      </c>
      <c r="V47" s="448" t="s">
        <v>780</v>
      </c>
      <c r="W47" s="450" t="s">
        <v>779</v>
      </c>
      <c r="Y47" s="449" t="s">
        <v>951</v>
      </c>
      <c r="Z47" s="448" t="s">
        <v>114</v>
      </c>
      <c r="AA47" s="438"/>
      <c r="AC47" s="437"/>
      <c r="AD47" s="433" t="s">
        <v>951</v>
      </c>
      <c r="AE47" s="438" t="s">
        <v>114</v>
      </c>
    </row>
    <row r="48" spans="3:33" s="147" customFormat="1">
      <c r="D48" s="147" t="s">
        <v>950</v>
      </c>
      <c r="E48" s="443">
        <v>3</v>
      </c>
      <c r="F48" s="442">
        <v>3</v>
      </c>
      <c r="G48" s="442">
        <v>3</v>
      </c>
      <c r="H48" s="442">
        <v>3</v>
      </c>
      <c r="I48" s="442">
        <v>3</v>
      </c>
      <c r="J48" s="442">
        <v>3</v>
      </c>
      <c r="K48" s="442">
        <v>3</v>
      </c>
      <c r="L48" s="442">
        <v>3</v>
      </c>
      <c r="M48" s="442">
        <v>3</v>
      </c>
      <c r="N48" s="442">
        <v>3</v>
      </c>
      <c r="P48" s="447" t="s">
        <v>191</v>
      </c>
      <c r="R48" s="445">
        <v>-3</v>
      </c>
      <c r="S48" s="436">
        <v>-1</v>
      </c>
      <c r="T48" s="436">
        <v>-0.5</v>
      </c>
      <c r="U48" s="436">
        <v>0</v>
      </c>
      <c r="V48" s="436">
        <v>1</v>
      </c>
      <c r="W48" s="446">
        <v>3</v>
      </c>
      <c r="Y48" s="445">
        <v>2</v>
      </c>
      <c r="Z48" s="444">
        <v>1</v>
      </c>
      <c r="AA48" s="438"/>
      <c r="AC48" s="437" t="s">
        <v>949</v>
      </c>
      <c r="AD48" s="436">
        <v>2</v>
      </c>
      <c r="AE48" s="435">
        <v>1</v>
      </c>
    </row>
    <row r="49" spans="3:33" s="147" customFormat="1">
      <c r="D49" s="147" t="s">
        <v>948</v>
      </c>
      <c r="E49" s="443">
        <f t="shared" ref="E49:N49" si="6">E48+E47</f>
        <v>8</v>
      </c>
      <c r="F49" s="442">
        <f t="shared" si="6"/>
        <v>8</v>
      </c>
      <c r="G49" s="442">
        <f t="shared" si="6"/>
        <v>8</v>
      </c>
      <c r="H49" s="442">
        <f t="shared" si="6"/>
        <v>8</v>
      </c>
      <c r="I49" s="442">
        <f t="shared" si="6"/>
        <v>8</v>
      </c>
      <c r="J49" s="442">
        <f t="shared" si="6"/>
        <v>8</v>
      </c>
      <c r="K49" s="442">
        <f t="shared" si="6"/>
        <v>8</v>
      </c>
      <c r="L49" s="442">
        <f t="shared" si="6"/>
        <v>8</v>
      </c>
      <c r="M49" s="442">
        <f t="shared" si="6"/>
        <v>8</v>
      </c>
      <c r="N49" s="442">
        <f t="shared" si="6"/>
        <v>8</v>
      </c>
      <c r="P49" s="441">
        <v>1</v>
      </c>
      <c r="R49" s="437"/>
      <c r="S49" s="433"/>
      <c r="T49" s="433"/>
      <c r="U49" s="433"/>
      <c r="V49" s="433"/>
      <c r="W49" s="438"/>
      <c r="Y49" s="437"/>
      <c r="Z49" s="433"/>
      <c r="AA49" s="438"/>
      <c r="AC49" s="437" t="s">
        <v>947</v>
      </c>
      <c r="AD49" s="436">
        <v>-0.3</v>
      </c>
      <c r="AE49" s="435">
        <v>2</v>
      </c>
    </row>
    <row r="50" spans="3:33" s="147" customFormat="1">
      <c r="D50" s="147" t="s">
        <v>946</v>
      </c>
      <c r="E50" s="440">
        <v>0</v>
      </c>
      <c r="F50" s="439">
        <v>0</v>
      </c>
      <c r="G50" s="439">
        <v>0</v>
      </c>
      <c r="H50" s="439">
        <v>0</v>
      </c>
      <c r="I50" s="439">
        <v>0</v>
      </c>
      <c r="J50" s="439">
        <v>0</v>
      </c>
      <c r="K50" s="439">
        <v>0</v>
      </c>
      <c r="L50" s="439">
        <v>0</v>
      </c>
      <c r="M50" s="439">
        <v>0</v>
      </c>
      <c r="N50" s="439">
        <v>0</v>
      </c>
      <c r="R50" s="437"/>
      <c r="S50" s="433"/>
      <c r="T50" s="433"/>
      <c r="U50" s="433"/>
      <c r="V50" s="433"/>
      <c r="W50" s="438"/>
      <c r="Y50" s="437"/>
      <c r="Z50" s="433"/>
      <c r="AA50" s="438"/>
      <c r="AC50" s="437"/>
      <c r="AD50" s="436"/>
      <c r="AE50" s="435"/>
      <c r="AF50" s="434"/>
      <c r="AG50" s="434"/>
    </row>
    <row r="51" spans="3:33" s="147" customFormat="1">
      <c r="E51" s="433"/>
      <c r="F51" s="433"/>
      <c r="G51" s="433"/>
      <c r="H51" s="433"/>
      <c r="I51" s="433"/>
      <c r="J51" s="433"/>
      <c r="K51" s="433"/>
      <c r="L51" s="433"/>
      <c r="M51" s="433"/>
      <c r="N51" s="433"/>
      <c r="R51" s="437"/>
      <c r="S51" s="433"/>
      <c r="T51" s="433"/>
      <c r="U51" s="433"/>
      <c r="V51" s="433"/>
      <c r="W51" s="438"/>
      <c r="Y51" s="437"/>
      <c r="Z51" s="433"/>
      <c r="AA51" s="438"/>
      <c r="AC51" s="437"/>
      <c r="AD51" s="433"/>
      <c r="AE51" s="438"/>
    </row>
    <row r="52" spans="3:33" s="147" customFormat="1">
      <c r="C52" s="153" t="s">
        <v>958</v>
      </c>
      <c r="D52" s="147" t="s">
        <v>952</v>
      </c>
      <c r="E52" s="453">
        <v>5</v>
      </c>
      <c r="F52" s="452">
        <v>5</v>
      </c>
      <c r="G52" s="452">
        <v>5</v>
      </c>
      <c r="H52" s="452">
        <v>5</v>
      </c>
      <c r="I52" s="452">
        <v>5</v>
      </c>
      <c r="J52" s="452">
        <v>5</v>
      </c>
      <c r="K52" s="452">
        <v>5</v>
      </c>
      <c r="L52" s="452">
        <v>5</v>
      </c>
      <c r="M52" s="452">
        <v>5</v>
      </c>
      <c r="N52" s="452">
        <v>5</v>
      </c>
      <c r="P52" s="451"/>
      <c r="R52" s="449" t="s">
        <v>784</v>
      </c>
      <c r="S52" s="448" t="s">
        <v>783</v>
      </c>
      <c r="T52" s="448" t="s">
        <v>782</v>
      </c>
      <c r="U52" s="448" t="s">
        <v>781</v>
      </c>
      <c r="V52" s="448" t="s">
        <v>780</v>
      </c>
      <c r="W52" s="450" t="s">
        <v>779</v>
      </c>
      <c r="Y52" s="449" t="s">
        <v>951</v>
      </c>
      <c r="Z52" s="448" t="s">
        <v>114</v>
      </c>
      <c r="AA52" s="438"/>
      <c r="AC52" s="437"/>
      <c r="AD52" s="433" t="s">
        <v>951</v>
      </c>
      <c r="AE52" s="438" t="s">
        <v>114</v>
      </c>
    </row>
    <row r="53" spans="3:33" s="147" customFormat="1">
      <c r="D53" s="147" t="s">
        <v>950</v>
      </c>
      <c r="E53" s="443">
        <v>3</v>
      </c>
      <c r="F53" s="442">
        <v>3</v>
      </c>
      <c r="G53" s="442">
        <v>3</v>
      </c>
      <c r="H53" s="442">
        <v>3</v>
      </c>
      <c r="I53" s="442">
        <v>3</v>
      </c>
      <c r="J53" s="442">
        <v>3</v>
      </c>
      <c r="K53" s="442">
        <v>3</v>
      </c>
      <c r="L53" s="442">
        <v>3</v>
      </c>
      <c r="M53" s="442">
        <v>3</v>
      </c>
      <c r="N53" s="442">
        <v>3</v>
      </c>
      <c r="P53" s="447" t="s">
        <v>191</v>
      </c>
      <c r="R53" s="445">
        <v>-3</v>
      </c>
      <c r="S53" s="436">
        <v>-1</v>
      </c>
      <c r="T53" s="436">
        <v>-0.5</v>
      </c>
      <c r="U53" s="436">
        <v>0</v>
      </c>
      <c r="V53" s="436">
        <v>1</v>
      </c>
      <c r="W53" s="446">
        <v>3</v>
      </c>
      <c r="Y53" s="445">
        <v>2</v>
      </c>
      <c r="Z53" s="444">
        <v>1</v>
      </c>
      <c r="AA53" s="438"/>
      <c r="AC53" s="437" t="s">
        <v>949</v>
      </c>
      <c r="AD53" s="436">
        <v>2</v>
      </c>
      <c r="AE53" s="435">
        <v>1</v>
      </c>
    </row>
    <row r="54" spans="3:33" s="147" customFormat="1">
      <c r="D54" s="147" t="s">
        <v>948</v>
      </c>
      <c r="E54" s="443">
        <f t="shared" ref="E54:N54" si="7">E53+E52</f>
        <v>8</v>
      </c>
      <c r="F54" s="442">
        <f t="shared" si="7"/>
        <v>8</v>
      </c>
      <c r="G54" s="442">
        <f t="shared" si="7"/>
        <v>8</v>
      </c>
      <c r="H54" s="442">
        <f t="shared" si="7"/>
        <v>8</v>
      </c>
      <c r="I54" s="442">
        <f t="shared" si="7"/>
        <v>8</v>
      </c>
      <c r="J54" s="442">
        <f t="shared" si="7"/>
        <v>8</v>
      </c>
      <c r="K54" s="442">
        <f t="shared" si="7"/>
        <v>8</v>
      </c>
      <c r="L54" s="442">
        <f t="shared" si="7"/>
        <v>8</v>
      </c>
      <c r="M54" s="442">
        <f t="shared" si="7"/>
        <v>8</v>
      </c>
      <c r="N54" s="442">
        <f t="shared" si="7"/>
        <v>8</v>
      </c>
      <c r="P54" s="441">
        <v>1</v>
      </c>
      <c r="R54" s="437"/>
      <c r="S54" s="433"/>
      <c r="T54" s="433"/>
      <c r="U54" s="433"/>
      <c r="V54" s="433"/>
      <c r="W54" s="438"/>
      <c r="Y54" s="437"/>
      <c r="Z54" s="433"/>
      <c r="AA54" s="438"/>
      <c r="AC54" s="437" t="s">
        <v>947</v>
      </c>
      <c r="AD54" s="436">
        <v>-0.3</v>
      </c>
      <c r="AE54" s="435">
        <v>2</v>
      </c>
    </row>
    <row r="55" spans="3:33" s="147" customFormat="1">
      <c r="D55" s="147" t="s">
        <v>946</v>
      </c>
      <c r="E55" s="440"/>
      <c r="F55" s="439"/>
      <c r="G55" s="439"/>
      <c r="H55" s="439"/>
      <c r="I55" s="439"/>
      <c r="J55" s="439"/>
      <c r="K55" s="439"/>
      <c r="L55" s="439"/>
      <c r="M55" s="439"/>
      <c r="N55" s="439"/>
      <c r="R55" s="437"/>
      <c r="S55" s="433"/>
      <c r="T55" s="433"/>
      <c r="U55" s="433"/>
      <c r="V55" s="433"/>
      <c r="W55" s="438"/>
      <c r="Y55" s="437"/>
      <c r="Z55" s="433"/>
      <c r="AA55" s="438"/>
      <c r="AC55" s="437"/>
      <c r="AD55" s="436"/>
      <c r="AE55" s="435"/>
      <c r="AF55" s="434"/>
      <c r="AG55" s="434"/>
    </row>
    <row r="56" spans="3:33" s="147" customFormat="1">
      <c r="E56" s="433"/>
      <c r="F56" s="433"/>
      <c r="G56" s="433"/>
      <c r="H56" s="433"/>
      <c r="I56" s="433"/>
      <c r="J56" s="433"/>
      <c r="K56" s="433"/>
      <c r="L56" s="433"/>
      <c r="M56" s="433"/>
      <c r="N56" s="433"/>
      <c r="R56" s="437"/>
      <c r="S56" s="433"/>
      <c r="T56" s="433"/>
      <c r="U56" s="433"/>
      <c r="V56" s="433"/>
      <c r="W56" s="438"/>
      <c r="Y56" s="437"/>
      <c r="Z56" s="433"/>
      <c r="AA56" s="438"/>
      <c r="AC56" s="437"/>
      <c r="AD56" s="433"/>
      <c r="AE56" s="438"/>
    </row>
    <row r="57" spans="3:33" s="147" customFormat="1">
      <c r="C57" s="153" t="s">
        <v>957</v>
      </c>
      <c r="D57" s="147" t="s">
        <v>952</v>
      </c>
      <c r="E57" s="453">
        <v>5</v>
      </c>
      <c r="F57" s="452">
        <v>5</v>
      </c>
      <c r="G57" s="452">
        <v>5</v>
      </c>
      <c r="H57" s="452">
        <v>5</v>
      </c>
      <c r="I57" s="452">
        <v>5</v>
      </c>
      <c r="J57" s="452">
        <v>5</v>
      </c>
      <c r="K57" s="452">
        <v>5</v>
      </c>
      <c r="L57" s="452">
        <v>5</v>
      </c>
      <c r="M57" s="452">
        <v>5</v>
      </c>
      <c r="N57" s="452">
        <v>5</v>
      </c>
      <c r="P57" s="451"/>
      <c r="R57" s="449" t="s">
        <v>784</v>
      </c>
      <c r="S57" s="448" t="s">
        <v>783</v>
      </c>
      <c r="T57" s="448" t="s">
        <v>782</v>
      </c>
      <c r="U57" s="448" t="s">
        <v>781</v>
      </c>
      <c r="V57" s="448" t="s">
        <v>780</v>
      </c>
      <c r="W57" s="450" t="s">
        <v>779</v>
      </c>
      <c r="Y57" s="449" t="s">
        <v>951</v>
      </c>
      <c r="Z57" s="448" t="s">
        <v>114</v>
      </c>
      <c r="AA57" s="438"/>
      <c r="AC57" s="437"/>
      <c r="AD57" s="433" t="s">
        <v>951</v>
      </c>
      <c r="AE57" s="438" t="s">
        <v>114</v>
      </c>
    </row>
    <row r="58" spans="3:33" s="147" customFormat="1">
      <c r="D58" s="147" t="s">
        <v>950</v>
      </c>
      <c r="E58" s="443">
        <v>3</v>
      </c>
      <c r="F58" s="442">
        <v>3</v>
      </c>
      <c r="G58" s="442">
        <v>3</v>
      </c>
      <c r="H58" s="442">
        <v>3</v>
      </c>
      <c r="I58" s="442">
        <v>3</v>
      </c>
      <c r="J58" s="442">
        <v>3</v>
      </c>
      <c r="K58" s="442">
        <v>3</v>
      </c>
      <c r="L58" s="442">
        <v>3</v>
      </c>
      <c r="M58" s="442">
        <v>3</v>
      </c>
      <c r="N58" s="442">
        <v>3</v>
      </c>
      <c r="P58" s="447" t="s">
        <v>191</v>
      </c>
      <c r="R58" s="445">
        <v>-3</v>
      </c>
      <c r="S58" s="436">
        <v>-1</v>
      </c>
      <c r="T58" s="436">
        <v>-0.5</v>
      </c>
      <c r="U58" s="436">
        <v>0</v>
      </c>
      <c r="V58" s="436">
        <v>1</v>
      </c>
      <c r="W58" s="446">
        <v>3</v>
      </c>
      <c r="Y58" s="445">
        <v>2</v>
      </c>
      <c r="Z58" s="444">
        <v>1</v>
      </c>
      <c r="AA58" s="438"/>
      <c r="AC58" s="437" t="s">
        <v>949</v>
      </c>
      <c r="AD58" s="436">
        <v>2</v>
      </c>
      <c r="AE58" s="435">
        <v>1</v>
      </c>
    </row>
    <row r="59" spans="3:33" s="147" customFormat="1">
      <c r="D59" s="147" t="s">
        <v>948</v>
      </c>
      <c r="E59" s="443">
        <f t="shared" ref="E59:N59" si="8">E58+E57</f>
        <v>8</v>
      </c>
      <c r="F59" s="442">
        <f t="shared" si="8"/>
        <v>8</v>
      </c>
      <c r="G59" s="442">
        <f t="shared" si="8"/>
        <v>8</v>
      </c>
      <c r="H59" s="442">
        <f t="shared" si="8"/>
        <v>8</v>
      </c>
      <c r="I59" s="442">
        <f t="shared" si="8"/>
        <v>8</v>
      </c>
      <c r="J59" s="442">
        <f t="shared" si="8"/>
        <v>8</v>
      </c>
      <c r="K59" s="442">
        <f t="shared" si="8"/>
        <v>8</v>
      </c>
      <c r="L59" s="442">
        <f t="shared" si="8"/>
        <v>8</v>
      </c>
      <c r="M59" s="442">
        <f t="shared" si="8"/>
        <v>8</v>
      </c>
      <c r="N59" s="442">
        <f t="shared" si="8"/>
        <v>8</v>
      </c>
      <c r="P59" s="441">
        <v>1</v>
      </c>
      <c r="R59" s="437"/>
      <c r="S59" s="433"/>
      <c r="T59" s="433"/>
      <c r="U59" s="433"/>
      <c r="V59" s="433"/>
      <c r="W59" s="438"/>
      <c r="Y59" s="437"/>
      <c r="Z59" s="433"/>
      <c r="AA59" s="438"/>
      <c r="AC59" s="437" t="s">
        <v>947</v>
      </c>
      <c r="AD59" s="436">
        <v>-0.3</v>
      </c>
      <c r="AE59" s="435">
        <v>2</v>
      </c>
    </row>
    <row r="60" spans="3:33" s="147" customFormat="1">
      <c r="D60" s="147" t="s">
        <v>946</v>
      </c>
      <c r="E60" s="440"/>
      <c r="F60" s="439"/>
      <c r="G60" s="439"/>
      <c r="H60" s="439"/>
      <c r="I60" s="439"/>
      <c r="J60" s="439"/>
      <c r="K60" s="439"/>
      <c r="L60" s="439"/>
      <c r="M60" s="439"/>
      <c r="N60" s="439"/>
      <c r="R60" s="437"/>
      <c r="S60" s="433"/>
      <c r="T60" s="433"/>
      <c r="U60" s="433"/>
      <c r="V60" s="433"/>
      <c r="W60" s="438"/>
      <c r="Y60" s="437"/>
      <c r="Z60" s="433"/>
      <c r="AA60" s="438"/>
      <c r="AC60" s="437"/>
      <c r="AD60" s="436"/>
      <c r="AE60" s="435"/>
      <c r="AF60" s="434"/>
      <c r="AG60" s="434"/>
    </row>
    <row r="61" spans="3:33" s="147" customFormat="1">
      <c r="E61" s="433"/>
      <c r="F61" s="433"/>
      <c r="G61" s="433"/>
      <c r="H61" s="433"/>
      <c r="I61" s="433"/>
      <c r="J61" s="433"/>
      <c r="K61" s="433"/>
      <c r="L61" s="433"/>
      <c r="M61" s="433"/>
      <c r="N61" s="433"/>
      <c r="R61" s="437"/>
      <c r="S61" s="433"/>
      <c r="T61" s="433"/>
      <c r="U61" s="433"/>
      <c r="V61" s="433"/>
      <c r="W61" s="438"/>
      <c r="Y61" s="437"/>
      <c r="Z61" s="433"/>
      <c r="AA61" s="438"/>
      <c r="AC61" s="437"/>
      <c r="AD61" s="433"/>
      <c r="AE61" s="438"/>
    </row>
    <row r="62" spans="3:33" s="147" customFormat="1">
      <c r="C62" s="153" t="s">
        <v>956</v>
      </c>
      <c r="D62" s="147" t="s">
        <v>952</v>
      </c>
      <c r="E62" s="453">
        <v>5</v>
      </c>
      <c r="F62" s="452">
        <v>5</v>
      </c>
      <c r="G62" s="452">
        <v>5</v>
      </c>
      <c r="H62" s="452">
        <v>5</v>
      </c>
      <c r="I62" s="452">
        <v>5</v>
      </c>
      <c r="J62" s="452">
        <v>5</v>
      </c>
      <c r="K62" s="452">
        <v>5</v>
      </c>
      <c r="L62" s="452">
        <v>5</v>
      </c>
      <c r="M62" s="452">
        <v>5</v>
      </c>
      <c r="N62" s="452">
        <v>5</v>
      </c>
      <c r="P62" s="451"/>
      <c r="R62" s="449" t="s">
        <v>784</v>
      </c>
      <c r="S62" s="448" t="s">
        <v>783</v>
      </c>
      <c r="T62" s="448" t="s">
        <v>782</v>
      </c>
      <c r="U62" s="448" t="s">
        <v>781</v>
      </c>
      <c r="V62" s="448" t="s">
        <v>780</v>
      </c>
      <c r="W62" s="450" t="s">
        <v>779</v>
      </c>
      <c r="Y62" s="449" t="s">
        <v>951</v>
      </c>
      <c r="Z62" s="448" t="s">
        <v>114</v>
      </c>
      <c r="AA62" s="438"/>
      <c r="AC62" s="437"/>
      <c r="AD62" s="433" t="s">
        <v>951</v>
      </c>
      <c r="AE62" s="438" t="s">
        <v>114</v>
      </c>
    </row>
    <row r="63" spans="3:33" s="147" customFormat="1">
      <c r="D63" s="147" t="s">
        <v>950</v>
      </c>
      <c r="E63" s="443">
        <v>3</v>
      </c>
      <c r="F63" s="442">
        <v>3</v>
      </c>
      <c r="G63" s="442">
        <v>3</v>
      </c>
      <c r="H63" s="442">
        <v>3</v>
      </c>
      <c r="I63" s="442">
        <v>3</v>
      </c>
      <c r="J63" s="442">
        <v>3</v>
      </c>
      <c r="K63" s="442">
        <v>3</v>
      </c>
      <c r="L63" s="442">
        <v>3</v>
      </c>
      <c r="M63" s="442">
        <v>3</v>
      </c>
      <c r="N63" s="442">
        <v>3</v>
      </c>
      <c r="P63" s="447" t="s">
        <v>191</v>
      </c>
      <c r="R63" s="445">
        <v>-3</v>
      </c>
      <c r="S63" s="436">
        <v>-1</v>
      </c>
      <c r="T63" s="436">
        <v>-0.5</v>
      </c>
      <c r="U63" s="436">
        <v>0</v>
      </c>
      <c r="V63" s="436">
        <v>1</v>
      </c>
      <c r="W63" s="446">
        <v>3</v>
      </c>
      <c r="Y63" s="445">
        <v>2</v>
      </c>
      <c r="Z63" s="444">
        <v>1</v>
      </c>
      <c r="AA63" s="438"/>
      <c r="AC63" s="437" t="s">
        <v>949</v>
      </c>
      <c r="AD63" s="436">
        <v>2</v>
      </c>
      <c r="AE63" s="435">
        <v>1</v>
      </c>
    </row>
    <row r="64" spans="3:33" s="147" customFormat="1">
      <c r="D64" s="147" t="s">
        <v>948</v>
      </c>
      <c r="E64" s="443">
        <f t="shared" ref="E64:N64" si="9">E63+E62</f>
        <v>8</v>
      </c>
      <c r="F64" s="442">
        <f t="shared" si="9"/>
        <v>8</v>
      </c>
      <c r="G64" s="442">
        <f t="shared" si="9"/>
        <v>8</v>
      </c>
      <c r="H64" s="442">
        <f t="shared" si="9"/>
        <v>8</v>
      </c>
      <c r="I64" s="442">
        <f t="shared" si="9"/>
        <v>8</v>
      </c>
      <c r="J64" s="442">
        <f t="shared" si="9"/>
        <v>8</v>
      </c>
      <c r="K64" s="442">
        <f t="shared" si="9"/>
        <v>8</v>
      </c>
      <c r="L64" s="442">
        <f t="shared" si="9"/>
        <v>8</v>
      </c>
      <c r="M64" s="442">
        <f t="shared" si="9"/>
        <v>8</v>
      </c>
      <c r="N64" s="442">
        <f t="shared" si="9"/>
        <v>8</v>
      </c>
      <c r="P64" s="441">
        <v>1</v>
      </c>
      <c r="R64" s="437"/>
      <c r="S64" s="433"/>
      <c r="T64" s="433"/>
      <c r="U64" s="433"/>
      <c r="V64" s="433"/>
      <c r="W64" s="438"/>
      <c r="Y64" s="437"/>
      <c r="Z64" s="433"/>
      <c r="AA64" s="438"/>
      <c r="AC64" s="437" t="s">
        <v>947</v>
      </c>
      <c r="AD64" s="436">
        <v>-0.3</v>
      </c>
      <c r="AE64" s="435">
        <v>2</v>
      </c>
    </row>
    <row r="65" spans="3:33" s="147" customFormat="1">
      <c r="D65" s="147" t="s">
        <v>946</v>
      </c>
      <c r="E65" s="440"/>
      <c r="F65" s="439"/>
      <c r="G65" s="439"/>
      <c r="H65" s="439"/>
      <c r="I65" s="439"/>
      <c r="J65" s="439"/>
      <c r="K65" s="439"/>
      <c r="L65" s="439"/>
      <c r="M65" s="439"/>
      <c r="N65" s="439"/>
      <c r="R65" s="437"/>
      <c r="S65" s="433"/>
      <c r="T65" s="433"/>
      <c r="U65" s="433"/>
      <c r="V65" s="433"/>
      <c r="W65" s="438"/>
      <c r="Y65" s="437"/>
      <c r="Z65" s="433"/>
      <c r="AA65" s="438"/>
      <c r="AC65" s="437"/>
      <c r="AD65" s="436"/>
      <c r="AE65" s="435"/>
      <c r="AF65" s="434"/>
      <c r="AG65" s="434"/>
    </row>
    <row r="66" spans="3:33" s="147" customFormat="1">
      <c r="E66" s="433"/>
      <c r="F66" s="433"/>
      <c r="G66" s="433"/>
      <c r="H66" s="433"/>
      <c r="I66" s="433"/>
      <c r="J66" s="433"/>
      <c r="K66" s="433"/>
      <c r="L66" s="433"/>
      <c r="M66" s="433"/>
      <c r="N66" s="433"/>
      <c r="P66" s="433"/>
      <c r="R66" s="437"/>
      <c r="S66" s="433"/>
      <c r="T66" s="433"/>
      <c r="U66" s="433"/>
      <c r="V66" s="433"/>
      <c r="W66" s="438"/>
      <c r="Y66" s="437"/>
      <c r="Z66" s="433"/>
      <c r="AA66" s="438"/>
      <c r="AC66" s="437"/>
      <c r="AD66" s="433"/>
      <c r="AE66" s="438"/>
    </row>
    <row r="67" spans="3:33" s="147" customFormat="1">
      <c r="C67" s="153" t="s">
        <v>955</v>
      </c>
      <c r="D67" s="147" t="s">
        <v>952</v>
      </c>
      <c r="E67" s="453">
        <v>5</v>
      </c>
      <c r="F67" s="452">
        <v>5</v>
      </c>
      <c r="G67" s="452">
        <v>5</v>
      </c>
      <c r="H67" s="452">
        <v>5</v>
      </c>
      <c r="I67" s="452">
        <v>5</v>
      </c>
      <c r="J67" s="452">
        <v>5</v>
      </c>
      <c r="K67" s="452">
        <v>5</v>
      </c>
      <c r="L67" s="452">
        <v>5</v>
      </c>
      <c r="M67" s="452">
        <v>5</v>
      </c>
      <c r="N67" s="452">
        <v>5</v>
      </c>
      <c r="P67" s="451"/>
      <c r="R67" s="449" t="s">
        <v>784</v>
      </c>
      <c r="S67" s="448" t="s">
        <v>783</v>
      </c>
      <c r="T67" s="448" t="s">
        <v>782</v>
      </c>
      <c r="U67" s="448" t="s">
        <v>781</v>
      </c>
      <c r="V67" s="448" t="s">
        <v>780</v>
      </c>
      <c r="W67" s="450" t="s">
        <v>779</v>
      </c>
      <c r="Y67" s="449" t="s">
        <v>951</v>
      </c>
      <c r="Z67" s="448" t="s">
        <v>114</v>
      </c>
      <c r="AA67" s="438"/>
      <c r="AC67" s="437"/>
      <c r="AD67" s="433" t="s">
        <v>951</v>
      </c>
      <c r="AE67" s="438" t="s">
        <v>114</v>
      </c>
    </row>
    <row r="68" spans="3:33" s="147" customFormat="1">
      <c r="D68" s="147" t="s">
        <v>950</v>
      </c>
      <c r="E68" s="443">
        <v>3</v>
      </c>
      <c r="F68" s="442">
        <v>3</v>
      </c>
      <c r="G68" s="442">
        <v>3</v>
      </c>
      <c r="H68" s="442">
        <v>3</v>
      </c>
      <c r="I68" s="442">
        <v>3</v>
      </c>
      <c r="J68" s="442">
        <v>3</v>
      </c>
      <c r="K68" s="442">
        <v>3</v>
      </c>
      <c r="L68" s="442">
        <v>3</v>
      </c>
      <c r="M68" s="442">
        <v>3</v>
      </c>
      <c r="N68" s="442">
        <v>3</v>
      </c>
      <c r="P68" s="447" t="s">
        <v>191</v>
      </c>
      <c r="R68" s="445">
        <v>-3</v>
      </c>
      <c r="S68" s="436">
        <v>-1</v>
      </c>
      <c r="T68" s="436">
        <v>-0.5</v>
      </c>
      <c r="U68" s="436">
        <v>0</v>
      </c>
      <c r="V68" s="436">
        <v>1</v>
      </c>
      <c r="W68" s="446">
        <v>3</v>
      </c>
      <c r="Y68" s="445">
        <v>2</v>
      </c>
      <c r="Z68" s="444">
        <v>1</v>
      </c>
      <c r="AA68" s="438"/>
      <c r="AC68" s="437" t="s">
        <v>949</v>
      </c>
      <c r="AD68" s="436">
        <v>2</v>
      </c>
      <c r="AE68" s="435">
        <v>1</v>
      </c>
    </row>
    <row r="69" spans="3:33" s="147" customFormat="1">
      <c r="D69" s="147" t="s">
        <v>948</v>
      </c>
      <c r="E69" s="443">
        <f t="shared" ref="E69:N69" si="10">E68+E67</f>
        <v>8</v>
      </c>
      <c r="F69" s="442">
        <f t="shared" si="10"/>
        <v>8</v>
      </c>
      <c r="G69" s="442">
        <f t="shared" si="10"/>
        <v>8</v>
      </c>
      <c r="H69" s="442">
        <f t="shared" si="10"/>
        <v>8</v>
      </c>
      <c r="I69" s="442">
        <f t="shared" si="10"/>
        <v>8</v>
      </c>
      <c r="J69" s="442">
        <f t="shared" si="10"/>
        <v>8</v>
      </c>
      <c r="K69" s="442">
        <f t="shared" si="10"/>
        <v>8</v>
      </c>
      <c r="L69" s="442">
        <f t="shared" si="10"/>
        <v>8</v>
      </c>
      <c r="M69" s="442">
        <f t="shared" si="10"/>
        <v>8</v>
      </c>
      <c r="N69" s="442">
        <f t="shared" si="10"/>
        <v>8</v>
      </c>
      <c r="P69" s="441">
        <v>1</v>
      </c>
      <c r="R69" s="437"/>
      <c r="S69" s="433"/>
      <c r="T69" s="433"/>
      <c r="U69" s="433"/>
      <c r="V69" s="433"/>
      <c r="W69" s="438"/>
      <c r="Y69" s="437"/>
      <c r="Z69" s="433"/>
      <c r="AA69" s="438"/>
      <c r="AC69" s="437" t="s">
        <v>947</v>
      </c>
      <c r="AD69" s="436">
        <v>-0.3</v>
      </c>
      <c r="AE69" s="435">
        <v>2</v>
      </c>
    </row>
    <row r="70" spans="3:33" s="147" customFormat="1">
      <c r="D70" s="147" t="s">
        <v>946</v>
      </c>
      <c r="E70" s="440"/>
      <c r="F70" s="439"/>
      <c r="G70" s="439"/>
      <c r="H70" s="439"/>
      <c r="I70" s="439"/>
      <c r="J70" s="439"/>
      <c r="K70" s="439"/>
      <c r="L70" s="439"/>
      <c r="M70" s="439"/>
      <c r="N70" s="439"/>
      <c r="R70" s="437"/>
      <c r="S70" s="433"/>
      <c r="T70" s="433"/>
      <c r="U70" s="433"/>
      <c r="V70" s="433"/>
      <c r="W70" s="438"/>
      <c r="Y70" s="437"/>
      <c r="Z70" s="433"/>
      <c r="AA70" s="438"/>
      <c r="AC70" s="437"/>
      <c r="AD70" s="436"/>
      <c r="AE70" s="435"/>
      <c r="AF70" s="434"/>
      <c r="AG70" s="434"/>
    </row>
    <row r="71" spans="3:33" s="147" customFormat="1">
      <c r="E71" s="433"/>
      <c r="F71" s="433"/>
      <c r="G71" s="433"/>
      <c r="H71" s="433"/>
      <c r="I71" s="433"/>
      <c r="J71" s="433"/>
      <c r="K71" s="433"/>
      <c r="L71" s="433"/>
      <c r="M71" s="433"/>
      <c r="N71" s="433"/>
      <c r="P71" s="433"/>
      <c r="R71" s="437"/>
      <c r="S71" s="433"/>
      <c r="T71" s="433"/>
      <c r="U71" s="433"/>
      <c r="V71" s="433"/>
      <c r="W71" s="438"/>
      <c r="Y71" s="437"/>
      <c r="Z71" s="433"/>
      <c r="AA71" s="438"/>
      <c r="AC71" s="437"/>
      <c r="AD71" s="433"/>
      <c r="AE71" s="438"/>
    </row>
    <row r="72" spans="3:33" s="147" customFormat="1">
      <c r="C72" s="153" t="s">
        <v>954</v>
      </c>
      <c r="D72" s="147" t="s">
        <v>952</v>
      </c>
      <c r="E72" s="453">
        <v>5</v>
      </c>
      <c r="F72" s="452">
        <v>5</v>
      </c>
      <c r="G72" s="452">
        <v>5</v>
      </c>
      <c r="H72" s="452">
        <v>5</v>
      </c>
      <c r="I72" s="452">
        <v>5</v>
      </c>
      <c r="J72" s="452">
        <v>5</v>
      </c>
      <c r="K72" s="452">
        <v>5</v>
      </c>
      <c r="L72" s="452">
        <v>5</v>
      </c>
      <c r="M72" s="452">
        <v>5</v>
      </c>
      <c r="N72" s="452">
        <v>5</v>
      </c>
      <c r="P72" s="451"/>
      <c r="R72" s="449" t="s">
        <v>784</v>
      </c>
      <c r="S72" s="448" t="s">
        <v>783</v>
      </c>
      <c r="T72" s="448" t="s">
        <v>782</v>
      </c>
      <c r="U72" s="448" t="s">
        <v>781</v>
      </c>
      <c r="V72" s="448" t="s">
        <v>780</v>
      </c>
      <c r="W72" s="450" t="s">
        <v>779</v>
      </c>
      <c r="Y72" s="449" t="s">
        <v>951</v>
      </c>
      <c r="Z72" s="448" t="s">
        <v>114</v>
      </c>
      <c r="AA72" s="438"/>
      <c r="AC72" s="437"/>
      <c r="AD72" s="433" t="s">
        <v>951</v>
      </c>
      <c r="AE72" s="438" t="s">
        <v>114</v>
      </c>
    </row>
    <row r="73" spans="3:33" s="147" customFormat="1">
      <c r="D73" s="147" t="s">
        <v>950</v>
      </c>
      <c r="E73" s="443">
        <v>3</v>
      </c>
      <c r="F73" s="442">
        <v>3</v>
      </c>
      <c r="G73" s="442">
        <v>3</v>
      </c>
      <c r="H73" s="442">
        <v>3</v>
      </c>
      <c r="I73" s="442">
        <v>3</v>
      </c>
      <c r="J73" s="442">
        <v>3</v>
      </c>
      <c r="K73" s="442">
        <v>3</v>
      </c>
      <c r="L73" s="442">
        <v>3</v>
      </c>
      <c r="M73" s="442">
        <v>3</v>
      </c>
      <c r="N73" s="442">
        <v>3</v>
      </c>
      <c r="P73" s="447" t="s">
        <v>191</v>
      </c>
      <c r="R73" s="445">
        <v>-3</v>
      </c>
      <c r="S73" s="436">
        <v>-1</v>
      </c>
      <c r="T73" s="436">
        <v>-0.5</v>
      </c>
      <c r="U73" s="436">
        <v>0</v>
      </c>
      <c r="V73" s="436">
        <v>1</v>
      </c>
      <c r="W73" s="446">
        <v>3</v>
      </c>
      <c r="Y73" s="445">
        <v>2</v>
      </c>
      <c r="Z73" s="444">
        <v>1</v>
      </c>
      <c r="AA73" s="438"/>
      <c r="AC73" s="437" t="s">
        <v>949</v>
      </c>
      <c r="AD73" s="436">
        <v>2</v>
      </c>
      <c r="AE73" s="435">
        <v>1</v>
      </c>
    </row>
    <row r="74" spans="3:33" s="147" customFormat="1">
      <c r="D74" s="147" t="s">
        <v>948</v>
      </c>
      <c r="E74" s="443">
        <f t="shared" ref="E74:N74" si="11">E73+E72</f>
        <v>8</v>
      </c>
      <c r="F74" s="442">
        <f t="shared" si="11"/>
        <v>8</v>
      </c>
      <c r="G74" s="442">
        <f t="shared" si="11"/>
        <v>8</v>
      </c>
      <c r="H74" s="442">
        <f t="shared" si="11"/>
        <v>8</v>
      </c>
      <c r="I74" s="442">
        <f t="shared" si="11"/>
        <v>8</v>
      </c>
      <c r="J74" s="442">
        <f t="shared" si="11"/>
        <v>8</v>
      </c>
      <c r="K74" s="442">
        <f t="shared" si="11"/>
        <v>8</v>
      </c>
      <c r="L74" s="442">
        <f t="shared" si="11"/>
        <v>8</v>
      </c>
      <c r="M74" s="442">
        <f t="shared" si="11"/>
        <v>8</v>
      </c>
      <c r="N74" s="442">
        <f t="shared" si="11"/>
        <v>8</v>
      </c>
      <c r="P74" s="441">
        <v>1</v>
      </c>
      <c r="R74" s="437"/>
      <c r="S74" s="433"/>
      <c r="T74" s="433"/>
      <c r="U74" s="433"/>
      <c r="V74" s="433"/>
      <c r="W74" s="438"/>
      <c r="Y74" s="437"/>
      <c r="Z74" s="433"/>
      <c r="AA74" s="438"/>
      <c r="AC74" s="437" t="s">
        <v>947</v>
      </c>
      <c r="AD74" s="436">
        <v>-0.3</v>
      </c>
      <c r="AE74" s="435">
        <v>2</v>
      </c>
    </row>
    <row r="75" spans="3:33" s="147" customFormat="1">
      <c r="D75" s="147" t="s">
        <v>946</v>
      </c>
      <c r="E75" s="440"/>
      <c r="F75" s="439"/>
      <c r="G75" s="439"/>
      <c r="H75" s="439"/>
      <c r="I75" s="439"/>
      <c r="J75" s="439"/>
      <c r="K75" s="439"/>
      <c r="L75" s="439"/>
      <c r="M75" s="439"/>
      <c r="N75" s="439"/>
      <c r="R75" s="437"/>
      <c r="S75" s="433"/>
      <c r="T75" s="433"/>
      <c r="U75" s="433"/>
      <c r="V75" s="433"/>
      <c r="W75" s="438"/>
      <c r="Y75" s="437"/>
      <c r="Z75" s="433"/>
      <c r="AA75" s="438"/>
      <c r="AC75" s="437"/>
      <c r="AD75" s="436"/>
      <c r="AE75" s="435"/>
      <c r="AF75" s="434"/>
      <c r="AG75" s="434"/>
    </row>
    <row r="76" spans="3:33" s="147" customFormat="1">
      <c r="E76" s="433"/>
      <c r="F76" s="433"/>
      <c r="G76" s="433"/>
      <c r="H76" s="433"/>
      <c r="I76" s="433"/>
      <c r="J76" s="433"/>
      <c r="K76" s="433"/>
      <c r="L76" s="433"/>
      <c r="M76" s="433"/>
      <c r="N76" s="433"/>
      <c r="P76" s="433"/>
      <c r="R76" s="437"/>
      <c r="S76" s="433"/>
      <c r="T76" s="433"/>
      <c r="U76" s="433"/>
      <c r="V76" s="433"/>
      <c r="W76" s="438"/>
      <c r="Y76" s="437"/>
      <c r="Z76" s="433"/>
      <c r="AA76" s="438"/>
      <c r="AC76" s="437"/>
      <c r="AD76" s="433"/>
      <c r="AE76" s="438"/>
    </row>
    <row r="77" spans="3:33" s="147" customFormat="1">
      <c r="C77" s="153" t="s">
        <v>953</v>
      </c>
      <c r="D77" s="147" t="s">
        <v>952</v>
      </c>
      <c r="E77" s="453">
        <v>5</v>
      </c>
      <c r="F77" s="452">
        <v>5</v>
      </c>
      <c r="G77" s="452">
        <v>5</v>
      </c>
      <c r="H77" s="452">
        <v>5</v>
      </c>
      <c r="I77" s="452">
        <v>5</v>
      </c>
      <c r="J77" s="452">
        <v>5</v>
      </c>
      <c r="K77" s="452">
        <v>5</v>
      </c>
      <c r="L77" s="452">
        <v>5</v>
      </c>
      <c r="M77" s="452">
        <v>5</v>
      </c>
      <c r="N77" s="452">
        <v>5</v>
      </c>
      <c r="P77" s="451"/>
      <c r="R77" s="449" t="s">
        <v>784</v>
      </c>
      <c r="S77" s="448" t="s">
        <v>783</v>
      </c>
      <c r="T77" s="448" t="s">
        <v>782</v>
      </c>
      <c r="U77" s="448" t="s">
        <v>781</v>
      </c>
      <c r="V77" s="448" t="s">
        <v>780</v>
      </c>
      <c r="W77" s="450" t="s">
        <v>779</v>
      </c>
      <c r="Y77" s="449" t="s">
        <v>951</v>
      </c>
      <c r="Z77" s="448" t="s">
        <v>114</v>
      </c>
      <c r="AA77" s="438"/>
      <c r="AC77" s="437"/>
      <c r="AD77" s="433" t="s">
        <v>951</v>
      </c>
      <c r="AE77" s="438" t="s">
        <v>114</v>
      </c>
    </row>
    <row r="78" spans="3:33" s="147" customFormat="1">
      <c r="D78" s="147" t="s">
        <v>950</v>
      </c>
      <c r="E78" s="443">
        <v>3</v>
      </c>
      <c r="F78" s="442">
        <v>3</v>
      </c>
      <c r="G78" s="442">
        <v>3</v>
      </c>
      <c r="H78" s="442">
        <v>3</v>
      </c>
      <c r="I78" s="442">
        <v>3</v>
      </c>
      <c r="J78" s="442">
        <v>3</v>
      </c>
      <c r="K78" s="442">
        <v>3</v>
      </c>
      <c r="L78" s="442">
        <v>3</v>
      </c>
      <c r="M78" s="442">
        <v>3</v>
      </c>
      <c r="N78" s="442">
        <v>3</v>
      </c>
      <c r="P78" s="447" t="s">
        <v>191</v>
      </c>
      <c r="R78" s="445">
        <v>-3</v>
      </c>
      <c r="S78" s="436">
        <v>-1</v>
      </c>
      <c r="T78" s="436">
        <v>-0.5</v>
      </c>
      <c r="U78" s="436">
        <v>0</v>
      </c>
      <c r="V78" s="436">
        <v>1</v>
      </c>
      <c r="W78" s="446">
        <v>3</v>
      </c>
      <c r="Y78" s="445">
        <v>2</v>
      </c>
      <c r="Z78" s="444">
        <v>1</v>
      </c>
      <c r="AA78" s="438"/>
      <c r="AC78" s="437" t="s">
        <v>949</v>
      </c>
      <c r="AD78" s="436">
        <v>2</v>
      </c>
      <c r="AE78" s="435">
        <v>1</v>
      </c>
    </row>
    <row r="79" spans="3:33" s="147" customFormat="1">
      <c r="D79" s="147" t="s">
        <v>948</v>
      </c>
      <c r="E79" s="443">
        <f t="shared" ref="E79:N79" si="12">E78+E77</f>
        <v>8</v>
      </c>
      <c r="F79" s="442">
        <f t="shared" si="12"/>
        <v>8</v>
      </c>
      <c r="G79" s="442">
        <f t="shared" si="12"/>
        <v>8</v>
      </c>
      <c r="H79" s="442">
        <f t="shared" si="12"/>
        <v>8</v>
      </c>
      <c r="I79" s="442">
        <f t="shared" si="12"/>
        <v>8</v>
      </c>
      <c r="J79" s="442">
        <f t="shared" si="12"/>
        <v>8</v>
      </c>
      <c r="K79" s="442">
        <f t="shared" si="12"/>
        <v>8</v>
      </c>
      <c r="L79" s="442">
        <f t="shared" si="12"/>
        <v>8</v>
      </c>
      <c r="M79" s="442">
        <f t="shared" si="12"/>
        <v>8</v>
      </c>
      <c r="N79" s="442">
        <f t="shared" si="12"/>
        <v>8</v>
      </c>
      <c r="P79" s="441">
        <v>1</v>
      </c>
      <c r="R79" s="437"/>
      <c r="S79" s="433"/>
      <c r="T79" s="433"/>
      <c r="U79" s="433"/>
      <c r="V79" s="433"/>
      <c r="W79" s="438"/>
      <c r="Y79" s="437"/>
      <c r="Z79" s="433"/>
      <c r="AA79" s="438"/>
      <c r="AC79" s="437" t="s">
        <v>947</v>
      </c>
      <c r="AD79" s="436">
        <v>-0.3</v>
      </c>
      <c r="AE79" s="435">
        <v>2</v>
      </c>
    </row>
    <row r="80" spans="3:33" s="147" customFormat="1">
      <c r="D80" s="147" t="s">
        <v>946</v>
      </c>
      <c r="E80" s="440"/>
      <c r="F80" s="439"/>
      <c r="G80" s="439"/>
      <c r="H80" s="439"/>
      <c r="I80" s="439"/>
      <c r="J80" s="439"/>
      <c r="K80" s="439"/>
      <c r="L80" s="439"/>
      <c r="M80" s="439"/>
      <c r="N80" s="439"/>
      <c r="R80" s="437"/>
      <c r="S80" s="433"/>
      <c r="T80" s="433"/>
      <c r="U80" s="433"/>
      <c r="V80" s="433"/>
      <c r="W80" s="438"/>
      <c r="Y80" s="437"/>
      <c r="Z80" s="433"/>
      <c r="AA80" s="438"/>
      <c r="AC80" s="437"/>
      <c r="AD80" s="436"/>
      <c r="AE80" s="435"/>
      <c r="AF80" s="434"/>
      <c r="AG80" s="434"/>
    </row>
    <row r="81" spans="1:31" s="147" customFormat="1">
      <c r="P81" s="433"/>
      <c r="R81" s="432"/>
      <c r="S81" s="418"/>
      <c r="T81" s="418"/>
      <c r="U81" s="418"/>
      <c r="V81" s="418"/>
      <c r="W81" s="431"/>
      <c r="Y81" s="432"/>
      <c r="Z81" s="418"/>
      <c r="AA81" s="431"/>
      <c r="AC81" s="432"/>
      <c r="AD81" s="418"/>
      <c r="AE81" s="431"/>
    </row>
    <row r="82" spans="1:31" s="147" customFormat="1">
      <c r="C82" s="147" t="s">
        <v>986</v>
      </c>
      <c r="E82" s="430">
        <f t="shared" ref="E82:N82" si="13">paramChallengeExecution</f>
        <v>0</v>
      </c>
      <c r="F82" s="430">
        <f t="shared" si="13"/>
        <v>0</v>
      </c>
      <c r="G82" s="430">
        <f t="shared" si="13"/>
        <v>0</v>
      </c>
      <c r="H82" s="430">
        <f t="shared" si="13"/>
        <v>0</v>
      </c>
      <c r="I82" s="430">
        <f t="shared" si="13"/>
        <v>0</v>
      </c>
      <c r="J82" s="430">
        <f t="shared" si="13"/>
        <v>0</v>
      </c>
      <c r="K82" s="430">
        <f t="shared" si="13"/>
        <v>0</v>
      </c>
      <c r="L82" s="430">
        <f t="shared" si="13"/>
        <v>0</v>
      </c>
      <c r="M82" s="430">
        <f t="shared" si="13"/>
        <v>0</v>
      </c>
      <c r="N82" s="430">
        <f t="shared" si="13"/>
        <v>0</v>
      </c>
      <c r="O82" s="428" t="s">
        <v>945</v>
      </c>
    </row>
    <row r="83" spans="1:31" s="147" customFormat="1"/>
    <row r="84" spans="1:31" s="147" customFormat="1">
      <c r="C84" s="147" t="s">
        <v>935</v>
      </c>
      <c r="E84" s="256">
        <f t="shared" ref="E84:N84" si="14">ManualAdjExecution</f>
        <v>0</v>
      </c>
      <c r="F84" s="256">
        <f t="shared" si="14"/>
        <v>0</v>
      </c>
      <c r="G84" s="256">
        <f t="shared" si="14"/>
        <v>0</v>
      </c>
      <c r="H84" s="256">
        <f t="shared" si="14"/>
        <v>0</v>
      </c>
      <c r="I84" s="256">
        <f t="shared" si="14"/>
        <v>0</v>
      </c>
      <c r="J84" s="256">
        <f t="shared" si="14"/>
        <v>0</v>
      </c>
      <c r="K84" s="256">
        <f t="shared" si="14"/>
        <v>0</v>
      </c>
      <c r="L84" s="256">
        <f t="shared" si="14"/>
        <v>0</v>
      </c>
      <c r="M84" s="256">
        <f t="shared" si="14"/>
        <v>0</v>
      </c>
      <c r="N84" s="256">
        <f t="shared" si="14"/>
        <v>0</v>
      </c>
      <c r="O84" s="147" t="s">
        <v>944</v>
      </c>
      <c r="R84" s="428" t="s">
        <v>943</v>
      </c>
    </row>
    <row r="85" spans="1:31" s="147" customFormat="1"/>
    <row r="86" spans="1:31" s="147" customFormat="1">
      <c r="C86" s="147" t="s">
        <v>942</v>
      </c>
      <c r="E86" s="429">
        <v>200</v>
      </c>
      <c r="I86" s="428"/>
      <c r="N86" s="428"/>
      <c r="R86" s="428"/>
    </row>
    <row r="87" spans="1:31" s="147" customFormat="1">
      <c r="C87" s="147" t="s">
        <v>941</v>
      </c>
      <c r="E87" s="429">
        <v>0</v>
      </c>
      <c r="I87" s="428"/>
      <c r="N87" s="428"/>
      <c r="R87" s="428"/>
    </row>
    <row r="88" spans="1:31" s="147" customFormat="1"/>
    <row r="89" spans="1:31" s="149" customFormat="1" ht="20.100000000000001" customHeight="1">
      <c r="C89" s="162" t="s">
        <v>112</v>
      </c>
      <c r="D89" s="163"/>
      <c r="E89" s="163"/>
      <c r="F89" s="163"/>
      <c r="G89" s="163"/>
      <c r="H89" s="163"/>
      <c r="I89" s="163"/>
      <c r="J89" s="163"/>
      <c r="K89" s="163"/>
      <c r="L89" s="163"/>
      <c r="M89" s="163"/>
      <c r="N89" s="163"/>
      <c r="O89" s="163"/>
      <c r="P89" s="163"/>
      <c r="Q89" s="163"/>
      <c r="R89" s="163"/>
      <c r="S89" s="163"/>
      <c r="T89" s="163"/>
      <c r="U89" s="163"/>
      <c r="V89" s="163"/>
      <c r="X89" s="163"/>
      <c r="AB89" s="163"/>
      <c r="AC89" s="149" t="s">
        <v>397</v>
      </c>
    </row>
    <row r="90" spans="1:31" s="147" customFormat="1">
      <c r="P90" s="154"/>
    </row>
    <row r="91" spans="1:31" s="149" customFormat="1">
      <c r="A91" s="148"/>
      <c r="C91" s="149" t="s">
        <v>940</v>
      </c>
      <c r="E91" s="150"/>
      <c r="F91" s="150"/>
      <c r="G91" s="150"/>
      <c r="H91" s="150"/>
      <c r="I91" s="150"/>
      <c r="J91" s="150"/>
      <c r="K91" s="150"/>
      <c r="L91" s="150"/>
      <c r="M91" s="150"/>
      <c r="N91" s="150"/>
    </row>
    <row r="92" spans="1:31" s="147" customFormat="1">
      <c r="E92" s="426"/>
      <c r="J92" s="426"/>
    </row>
    <row r="93" spans="1:31" s="147" customFormat="1">
      <c r="C93" s="147" t="str">
        <f>"Ending "&amp;$D$19</f>
        <v>Ending Execution</v>
      </c>
      <c r="E93" s="479">
        <f t="shared" ref="E93:N93" ca="1" si="15">E$129</f>
        <v>0.68185499999999999</v>
      </c>
      <c r="F93" s="479">
        <f t="shared" ca="1" si="15"/>
        <v>0.68185499999999999</v>
      </c>
      <c r="G93" s="479">
        <f t="shared" ca="1" si="15"/>
        <v>0.68185499999999999</v>
      </c>
      <c r="H93" s="479">
        <f t="shared" ca="1" si="15"/>
        <v>0.68185499999999999</v>
      </c>
      <c r="I93" s="479">
        <f t="shared" ca="1" si="15"/>
        <v>0.68185499999999999</v>
      </c>
      <c r="J93" s="479">
        <f t="shared" ca="1" si="15"/>
        <v>0.68185499999999999</v>
      </c>
      <c r="K93" s="479">
        <f t="shared" ca="1" si="15"/>
        <v>0.68185499999999999</v>
      </c>
      <c r="L93" s="479">
        <f t="shared" ca="1" si="15"/>
        <v>0.68185499999999999</v>
      </c>
      <c r="M93" s="479">
        <f t="shared" ca="1" si="15"/>
        <v>0.68185499999999999</v>
      </c>
      <c r="N93" s="479">
        <f t="shared" ca="1" si="15"/>
        <v>0.68185499999999999</v>
      </c>
      <c r="O93" s="480" t="s">
        <v>1001</v>
      </c>
    </row>
    <row r="94" spans="1:31" s="147" customFormat="1">
      <c r="P94" s="154"/>
    </row>
    <row r="95" spans="1:31" s="149" customFormat="1">
      <c r="A95" s="148"/>
      <c r="C95" s="149" t="s">
        <v>939</v>
      </c>
      <c r="E95" s="150"/>
      <c r="F95" s="150"/>
      <c r="G95" s="150"/>
      <c r="H95" s="150"/>
      <c r="I95" s="150"/>
      <c r="J95" s="150"/>
      <c r="K95" s="150"/>
      <c r="L95" s="150"/>
      <c r="M95" s="150"/>
      <c r="N95" s="150"/>
    </row>
    <row r="96" spans="1:31" s="147" customFormat="1">
      <c r="C96" s="428" t="s">
        <v>938</v>
      </c>
      <c r="E96" s="426"/>
      <c r="J96" s="426"/>
    </row>
    <row r="97" spans="3:28" s="147" customFormat="1">
      <c r="E97" s="426"/>
      <c r="J97" s="426"/>
    </row>
    <row r="98" spans="3:28" s="147" customFormat="1">
      <c r="D98" s="427" t="str">
        <f t="shared" ref="D98:D108" si="16">C116</f>
        <v>Internal Readiness</v>
      </c>
      <c r="E98" s="1207">
        <f t="shared" ref="E98:N98" si="17">E116</f>
        <v>2.3549999999999899E-3</v>
      </c>
      <c r="F98" s="1207">
        <f t="shared" si="17"/>
        <v>2.3549999999999899E-3</v>
      </c>
      <c r="G98" s="1207">
        <f t="shared" si="17"/>
        <v>2.3549999999999899E-3</v>
      </c>
      <c r="H98" s="1207">
        <f t="shared" si="17"/>
        <v>2.3549999999999899E-3</v>
      </c>
      <c r="I98" s="1207">
        <f t="shared" si="17"/>
        <v>2.3549999999999899E-3</v>
      </c>
      <c r="J98" s="1207">
        <f t="shared" si="17"/>
        <v>2.3549999999999899E-3</v>
      </c>
      <c r="K98" s="1207">
        <f t="shared" si="17"/>
        <v>2.3549999999999899E-3</v>
      </c>
      <c r="L98" s="1207">
        <f t="shared" si="17"/>
        <v>2.3549999999999899E-3</v>
      </c>
      <c r="M98" s="1207">
        <f t="shared" si="17"/>
        <v>2.3549999999999899E-3</v>
      </c>
      <c r="N98" s="1207">
        <f t="shared" si="17"/>
        <v>2.3549999999999899E-3</v>
      </c>
    </row>
    <row r="99" spans="3:28" s="147" customFormat="1">
      <c r="D99" s="427" t="str">
        <f t="shared" si="16"/>
        <v>Collaboration</v>
      </c>
      <c r="E99" s="1207">
        <f t="shared" ref="E99:N99" ca="1" si="18">E117</f>
        <v>-2.0500000000000001E-2</v>
      </c>
      <c r="F99" s="1207">
        <f t="shared" ca="1" si="18"/>
        <v>-2.0500000000000001E-2</v>
      </c>
      <c r="G99" s="1207">
        <f t="shared" ca="1" si="18"/>
        <v>-2.0500000000000001E-2</v>
      </c>
      <c r="H99" s="1207">
        <f t="shared" ca="1" si="18"/>
        <v>-2.0500000000000001E-2</v>
      </c>
      <c r="I99" s="1207">
        <f t="shared" ca="1" si="18"/>
        <v>-2.0500000000000001E-2</v>
      </c>
      <c r="J99" s="1207">
        <f t="shared" ca="1" si="18"/>
        <v>-2.0500000000000001E-2</v>
      </c>
      <c r="K99" s="1207">
        <f t="shared" ca="1" si="18"/>
        <v>-2.0500000000000001E-2</v>
      </c>
      <c r="L99" s="1207">
        <f t="shared" ca="1" si="18"/>
        <v>-2.0500000000000001E-2</v>
      </c>
      <c r="M99" s="1207">
        <f t="shared" ca="1" si="18"/>
        <v>-2.0500000000000001E-2</v>
      </c>
      <c r="N99" s="1207">
        <f t="shared" ca="1" si="18"/>
        <v>-2.0500000000000001E-2</v>
      </c>
    </row>
    <row r="100" spans="3:28" s="147" customFormat="1">
      <c r="D100" s="427" t="str">
        <f t="shared" si="16"/>
        <v>Driver 3</v>
      </c>
      <c r="E100" s="1207">
        <f t="shared" ref="E100:N100" si="19">E118</f>
        <v>0</v>
      </c>
      <c r="F100" s="1207">
        <f t="shared" si="19"/>
        <v>0</v>
      </c>
      <c r="G100" s="1207">
        <f t="shared" si="19"/>
        <v>0</v>
      </c>
      <c r="H100" s="1207">
        <f t="shared" si="19"/>
        <v>0</v>
      </c>
      <c r="I100" s="1207">
        <f t="shared" si="19"/>
        <v>0</v>
      </c>
      <c r="J100" s="1207">
        <f t="shared" si="19"/>
        <v>0</v>
      </c>
      <c r="K100" s="1207">
        <f t="shared" si="19"/>
        <v>0</v>
      </c>
      <c r="L100" s="1207">
        <f t="shared" si="19"/>
        <v>0</v>
      </c>
      <c r="M100" s="1207">
        <f t="shared" si="19"/>
        <v>0</v>
      </c>
      <c r="N100" s="1207">
        <f t="shared" si="19"/>
        <v>0</v>
      </c>
    </row>
    <row r="101" spans="3:28" s="147" customFormat="1">
      <c r="D101" s="427" t="str">
        <f t="shared" si="16"/>
        <v xml:space="preserve">Driver 4 </v>
      </c>
      <c r="E101" s="1207">
        <f t="shared" ref="E101:N101" si="20">E119</f>
        <v>0</v>
      </c>
      <c r="F101" s="1207">
        <f t="shared" si="20"/>
        <v>0</v>
      </c>
      <c r="G101" s="1207">
        <f t="shared" si="20"/>
        <v>0</v>
      </c>
      <c r="H101" s="1207">
        <f t="shared" si="20"/>
        <v>0</v>
      </c>
      <c r="I101" s="1207">
        <f t="shared" si="20"/>
        <v>0</v>
      </c>
      <c r="J101" s="1207">
        <f t="shared" si="20"/>
        <v>0</v>
      </c>
      <c r="K101" s="1207">
        <f t="shared" si="20"/>
        <v>0</v>
      </c>
      <c r="L101" s="1207">
        <f t="shared" si="20"/>
        <v>0</v>
      </c>
      <c r="M101" s="1207">
        <f t="shared" si="20"/>
        <v>0</v>
      </c>
      <c r="N101" s="1207">
        <f t="shared" si="20"/>
        <v>0</v>
      </c>
    </row>
    <row r="102" spans="3:28" s="147" customFormat="1">
      <c r="D102" s="427" t="str">
        <f t="shared" si="16"/>
        <v xml:space="preserve">Driver 5 </v>
      </c>
      <c r="E102" s="1207">
        <f t="shared" ref="E102:N102" si="21">E120</f>
        <v>0</v>
      </c>
      <c r="F102" s="1207">
        <f t="shared" si="21"/>
        <v>0</v>
      </c>
      <c r="G102" s="1207">
        <f t="shared" si="21"/>
        <v>0</v>
      </c>
      <c r="H102" s="1207">
        <f t="shared" si="21"/>
        <v>0</v>
      </c>
      <c r="I102" s="1207">
        <f t="shared" si="21"/>
        <v>0</v>
      </c>
      <c r="J102" s="1207">
        <f t="shared" si="21"/>
        <v>0</v>
      </c>
      <c r="K102" s="1207">
        <f t="shared" si="21"/>
        <v>0</v>
      </c>
      <c r="L102" s="1207">
        <f t="shared" si="21"/>
        <v>0</v>
      </c>
      <c r="M102" s="1207">
        <f t="shared" si="21"/>
        <v>0</v>
      </c>
      <c r="N102" s="1207">
        <f t="shared" si="21"/>
        <v>0</v>
      </c>
    </row>
    <row r="103" spans="3:28" s="147" customFormat="1">
      <c r="D103" s="427" t="str">
        <f t="shared" si="16"/>
        <v xml:space="preserve">Driver 6 </v>
      </c>
      <c r="E103" s="1207">
        <f t="shared" ref="E103:N103" si="22">E121</f>
        <v>0</v>
      </c>
      <c r="F103" s="1207">
        <f t="shared" si="22"/>
        <v>0</v>
      </c>
      <c r="G103" s="1207">
        <f t="shared" si="22"/>
        <v>0</v>
      </c>
      <c r="H103" s="1207">
        <f t="shared" si="22"/>
        <v>0</v>
      </c>
      <c r="I103" s="1207">
        <f t="shared" si="22"/>
        <v>0</v>
      </c>
      <c r="J103" s="1207">
        <f t="shared" si="22"/>
        <v>0</v>
      </c>
      <c r="K103" s="1207">
        <f t="shared" si="22"/>
        <v>0</v>
      </c>
      <c r="L103" s="1207">
        <f t="shared" si="22"/>
        <v>0</v>
      </c>
      <c r="M103" s="1207">
        <f t="shared" si="22"/>
        <v>0</v>
      </c>
      <c r="N103" s="1207">
        <f t="shared" si="22"/>
        <v>0</v>
      </c>
    </row>
    <row r="104" spans="3:28" s="147" customFormat="1">
      <c r="D104" s="427" t="str">
        <f t="shared" si="16"/>
        <v xml:space="preserve">Driver 7 </v>
      </c>
      <c r="E104" s="1207">
        <f t="shared" ref="E104:N104" si="23">E122</f>
        <v>0</v>
      </c>
      <c r="F104" s="1207">
        <f t="shared" si="23"/>
        <v>0</v>
      </c>
      <c r="G104" s="1207">
        <f t="shared" si="23"/>
        <v>0</v>
      </c>
      <c r="H104" s="1207">
        <f t="shared" si="23"/>
        <v>0</v>
      </c>
      <c r="I104" s="1207">
        <f t="shared" si="23"/>
        <v>0</v>
      </c>
      <c r="J104" s="1207">
        <f t="shared" si="23"/>
        <v>0</v>
      </c>
      <c r="K104" s="1207">
        <f t="shared" si="23"/>
        <v>0</v>
      </c>
      <c r="L104" s="1207">
        <f t="shared" si="23"/>
        <v>0</v>
      </c>
      <c r="M104" s="1207">
        <f t="shared" si="23"/>
        <v>0</v>
      </c>
      <c r="N104" s="1207">
        <f t="shared" si="23"/>
        <v>0</v>
      </c>
    </row>
    <row r="105" spans="3:28" s="147" customFormat="1">
      <c r="D105" s="427" t="str">
        <f t="shared" si="16"/>
        <v xml:space="preserve">Driver 8 </v>
      </c>
      <c r="E105" s="1207">
        <f t="shared" ref="E105:N105" si="24">E123</f>
        <v>0</v>
      </c>
      <c r="F105" s="1207">
        <f t="shared" si="24"/>
        <v>0</v>
      </c>
      <c r="G105" s="1207">
        <f t="shared" si="24"/>
        <v>0</v>
      </c>
      <c r="H105" s="1207">
        <f t="shared" si="24"/>
        <v>0</v>
      </c>
      <c r="I105" s="1207">
        <f t="shared" si="24"/>
        <v>0</v>
      </c>
      <c r="J105" s="1207">
        <f t="shared" si="24"/>
        <v>0</v>
      </c>
      <c r="K105" s="1207">
        <f t="shared" si="24"/>
        <v>0</v>
      </c>
      <c r="L105" s="1207">
        <f t="shared" si="24"/>
        <v>0</v>
      </c>
      <c r="M105" s="1207">
        <f t="shared" si="24"/>
        <v>0</v>
      </c>
      <c r="N105" s="1207">
        <f t="shared" si="24"/>
        <v>0</v>
      </c>
    </row>
    <row r="106" spans="3:28" s="147" customFormat="1">
      <c r="D106" s="427" t="str">
        <f t="shared" si="16"/>
        <v xml:space="preserve">Driver 9 </v>
      </c>
      <c r="E106" s="1207">
        <f t="shared" ref="E106:N106" si="25">E124</f>
        <v>0</v>
      </c>
      <c r="F106" s="1207">
        <f t="shared" si="25"/>
        <v>0</v>
      </c>
      <c r="G106" s="1207">
        <f t="shared" si="25"/>
        <v>0</v>
      </c>
      <c r="H106" s="1207">
        <f t="shared" si="25"/>
        <v>0</v>
      </c>
      <c r="I106" s="1207">
        <f t="shared" si="25"/>
        <v>0</v>
      </c>
      <c r="J106" s="1207">
        <f t="shared" si="25"/>
        <v>0</v>
      </c>
      <c r="K106" s="1207">
        <f t="shared" si="25"/>
        <v>0</v>
      </c>
      <c r="L106" s="1207">
        <f t="shared" si="25"/>
        <v>0</v>
      </c>
      <c r="M106" s="1207">
        <f t="shared" si="25"/>
        <v>0</v>
      </c>
      <c r="N106" s="1207">
        <f t="shared" si="25"/>
        <v>0</v>
      </c>
    </row>
    <row r="107" spans="3:28" s="147" customFormat="1">
      <c r="D107" s="427" t="str">
        <f t="shared" si="16"/>
        <v xml:space="preserve">Driver 10 </v>
      </c>
      <c r="E107" s="1207">
        <f t="shared" ref="E107:N107" si="26">E125</f>
        <v>0</v>
      </c>
      <c r="F107" s="1207">
        <f t="shared" si="26"/>
        <v>0</v>
      </c>
      <c r="G107" s="1207">
        <f t="shared" si="26"/>
        <v>0</v>
      </c>
      <c r="H107" s="1207">
        <f t="shared" si="26"/>
        <v>0</v>
      </c>
      <c r="I107" s="1207">
        <f t="shared" si="26"/>
        <v>0</v>
      </c>
      <c r="J107" s="1207">
        <f t="shared" si="26"/>
        <v>0</v>
      </c>
      <c r="K107" s="1207">
        <f t="shared" si="26"/>
        <v>0</v>
      </c>
      <c r="L107" s="1207">
        <f t="shared" si="26"/>
        <v>0</v>
      </c>
      <c r="M107" s="1207">
        <f t="shared" si="26"/>
        <v>0</v>
      </c>
      <c r="N107" s="1207">
        <f t="shared" si="26"/>
        <v>0</v>
      </c>
    </row>
    <row r="108" spans="3:28" s="147" customFormat="1">
      <c r="D108" s="427" t="str">
        <f t="shared" si="16"/>
        <v>Challenges</v>
      </c>
      <c r="E108" s="1207">
        <f t="shared" ref="E108:N108" si="27">E126</f>
        <v>0</v>
      </c>
      <c r="F108" s="1207">
        <f t="shared" si="27"/>
        <v>0</v>
      </c>
      <c r="G108" s="1207">
        <f t="shared" si="27"/>
        <v>0</v>
      </c>
      <c r="H108" s="1207">
        <f t="shared" si="27"/>
        <v>0</v>
      </c>
      <c r="I108" s="1207">
        <f t="shared" si="27"/>
        <v>0</v>
      </c>
      <c r="J108" s="1207">
        <f t="shared" si="27"/>
        <v>0</v>
      </c>
      <c r="K108" s="1207">
        <f t="shared" si="27"/>
        <v>0</v>
      </c>
      <c r="L108" s="1207">
        <f t="shared" si="27"/>
        <v>0</v>
      </c>
      <c r="M108" s="1207">
        <f t="shared" si="27"/>
        <v>0</v>
      </c>
      <c r="N108" s="1207">
        <f t="shared" si="27"/>
        <v>0</v>
      </c>
    </row>
    <row r="109" spans="3:28" s="147" customFormat="1">
      <c r="D109" s="427" t="str">
        <f>"Ending "&amp;$D$19</f>
        <v>Ending Execution</v>
      </c>
      <c r="E109" s="1207">
        <f t="shared" ref="E109:N109" ca="1" si="28">E129</f>
        <v>0.68185499999999999</v>
      </c>
      <c r="F109" s="1207">
        <f t="shared" ca="1" si="28"/>
        <v>0.68185499999999999</v>
      </c>
      <c r="G109" s="1207">
        <f t="shared" ca="1" si="28"/>
        <v>0.68185499999999999</v>
      </c>
      <c r="H109" s="1207">
        <f t="shared" ca="1" si="28"/>
        <v>0.68185499999999999</v>
      </c>
      <c r="I109" s="1207">
        <f t="shared" ca="1" si="28"/>
        <v>0.68185499999999999</v>
      </c>
      <c r="J109" s="1207">
        <f t="shared" ca="1" si="28"/>
        <v>0.68185499999999999</v>
      </c>
      <c r="K109" s="1207">
        <f t="shared" ca="1" si="28"/>
        <v>0.68185499999999999</v>
      </c>
      <c r="L109" s="1207">
        <f t="shared" ca="1" si="28"/>
        <v>0.68185499999999999</v>
      </c>
      <c r="M109" s="1207">
        <f t="shared" ca="1" si="28"/>
        <v>0.68185499999999999</v>
      </c>
      <c r="N109" s="1207">
        <f t="shared" ca="1" si="28"/>
        <v>0.68185499999999999</v>
      </c>
    </row>
    <row r="110" spans="3:28" s="147" customFormat="1">
      <c r="E110" s="426"/>
      <c r="J110" s="426"/>
    </row>
    <row r="111" spans="3:28" s="149" customFormat="1" ht="20.100000000000001" customHeight="1">
      <c r="C111" s="162" t="s">
        <v>119</v>
      </c>
      <c r="D111" s="163"/>
      <c r="E111" s="163"/>
      <c r="F111" s="163"/>
      <c r="G111" s="163"/>
      <c r="H111" s="163"/>
      <c r="I111" s="163"/>
      <c r="J111" s="163"/>
      <c r="K111" s="163"/>
      <c r="L111" s="163"/>
      <c r="M111" s="163"/>
      <c r="N111" s="163"/>
      <c r="O111" s="163"/>
      <c r="P111" s="163"/>
      <c r="Q111" s="163"/>
      <c r="R111" s="163"/>
      <c r="S111" s="163"/>
      <c r="T111" s="163"/>
      <c r="U111" s="163"/>
      <c r="V111" s="163"/>
      <c r="X111" s="163"/>
      <c r="AB111" s="163"/>
    </row>
    <row r="112" spans="3:28" s="147" customFormat="1">
      <c r="P112" s="154"/>
    </row>
    <row r="113" spans="1:14" s="149" customFormat="1">
      <c r="A113" s="148"/>
      <c r="C113" s="149" t="s">
        <v>937</v>
      </c>
      <c r="E113" s="150"/>
      <c r="F113" s="150"/>
      <c r="G113" s="150"/>
      <c r="H113" s="150"/>
      <c r="I113" s="150"/>
      <c r="J113" s="150"/>
      <c r="K113" s="150"/>
      <c r="L113" s="150"/>
      <c r="M113" s="150"/>
      <c r="N113" s="150"/>
    </row>
    <row r="114" spans="1:14">
      <c r="B114" s="159"/>
      <c r="D114" s="160"/>
      <c r="E114" s="161"/>
      <c r="F114" s="161"/>
      <c r="G114" s="161"/>
      <c r="H114" s="161"/>
      <c r="I114" s="161"/>
      <c r="J114" s="161"/>
      <c r="K114" s="161"/>
      <c r="L114" s="161"/>
      <c r="M114" s="161"/>
      <c r="N114" s="161"/>
    </row>
    <row r="115" spans="1:14" s="147" customFormat="1">
      <c r="C115" s="155" t="str">
        <f>"Opening "&amp;$D$19</f>
        <v>Opening Execution</v>
      </c>
      <c r="D115" s="426" t="s">
        <v>936</v>
      </c>
      <c r="E115" s="416">
        <f t="shared" ref="E115:N115" si="29">E$28</f>
        <v>0.7</v>
      </c>
      <c r="F115" s="416">
        <f t="shared" si="29"/>
        <v>0.7</v>
      </c>
      <c r="G115" s="416">
        <f t="shared" si="29"/>
        <v>0.7</v>
      </c>
      <c r="H115" s="416">
        <f t="shared" si="29"/>
        <v>0.7</v>
      </c>
      <c r="I115" s="416">
        <f t="shared" si="29"/>
        <v>0.7</v>
      </c>
      <c r="J115" s="416">
        <f t="shared" si="29"/>
        <v>0.7</v>
      </c>
      <c r="K115" s="416">
        <f t="shared" si="29"/>
        <v>0.7</v>
      </c>
      <c r="L115" s="416">
        <f t="shared" si="29"/>
        <v>0.7</v>
      </c>
      <c r="M115" s="416">
        <f t="shared" si="29"/>
        <v>0.7</v>
      </c>
      <c r="N115" s="416">
        <f t="shared" si="29"/>
        <v>0.7</v>
      </c>
    </row>
    <row r="116" spans="1:14" s="147" customFormat="1">
      <c r="C116" s="155" t="str">
        <f>C$32</f>
        <v>Internal Readiness</v>
      </c>
      <c r="D116" s="416" t="str">
        <f>P32</f>
        <v>Non-Linear</v>
      </c>
      <c r="E116" s="1202">
        <f t="shared" ref="E116:N116" si="30">IF($P32="Absolute",E133,IF($P32="Relative",E157,IF($P32="Relative Change",SUM(E170:E171),IF($P32="Non-Linear",E35,0))))</f>
        <v>2.3549999999999899E-3</v>
      </c>
      <c r="F116" s="1202">
        <f t="shared" si="30"/>
        <v>2.3549999999999899E-3</v>
      </c>
      <c r="G116" s="1202">
        <f t="shared" si="30"/>
        <v>2.3549999999999899E-3</v>
      </c>
      <c r="H116" s="1202">
        <f t="shared" si="30"/>
        <v>2.3549999999999899E-3</v>
      </c>
      <c r="I116" s="1202">
        <f t="shared" si="30"/>
        <v>2.3549999999999899E-3</v>
      </c>
      <c r="J116" s="1202">
        <f t="shared" si="30"/>
        <v>2.3549999999999899E-3</v>
      </c>
      <c r="K116" s="1202">
        <f t="shared" si="30"/>
        <v>2.3549999999999899E-3</v>
      </c>
      <c r="L116" s="1202">
        <f t="shared" si="30"/>
        <v>2.3549999999999899E-3</v>
      </c>
      <c r="M116" s="1202">
        <f t="shared" si="30"/>
        <v>2.3549999999999899E-3</v>
      </c>
      <c r="N116" s="1202">
        <f t="shared" si="30"/>
        <v>2.3549999999999899E-3</v>
      </c>
    </row>
    <row r="117" spans="1:14" s="147" customFormat="1">
      <c r="C117" s="155" t="str">
        <f>C$37</f>
        <v>Collaboration</v>
      </c>
      <c r="D117" s="416" t="str">
        <f>P37</f>
        <v>Non-Linear</v>
      </c>
      <c r="E117" s="416">
        <f t="shared" ref="E117:N117" ca="1" si="31">IF($P37="Absolute",E134,IF($P37="Relative",E158,IF($P37="Relative Change",SUM(E172:E173),IF($P37="Non-Linear",E40,0))))</f>
        <v>-2.0500000000000001E-2</v>
      </c>
      <c r="F117" s="416">
        <f t="shared" ca="1" si="31"/>
        <v>-2.0500000000000001E-2</v>
      </c>
      <c r="G117" s="416">
        <f t="shared" ca="1" si="31"/>
        <v>-2.0500000000000001E-2</v>
      </c>
      <c r="H117" s="416">
        <f t="shared" ca="1" si="31"/>
        <v>-2.0500000000000001E-2</v>
      </c>
      <c r="I117" s="416">
        <f t="shared" ca="1" si="31"/>
        <v>-2.0500000000000001E-2</v>
      </c>
      <c r="J117" s="416">
        <f t="shared" ca="1" si="31"/>
        <v>-2.0500000000000001E-2</v>
      </c>
      <c r="K117" s="416">
        <f t="shared" ca="1" si="31"/>
        <v>-2.0500000000000001E-2</v>
      </c>
      <c r="L117" s="416">
        <f t="shared" ca="1" si="31"/>
        <v>-2.0500000000000001E-2</v>
      </c>
      <c r="M117" s="416">
        <f t="shared" ca="1" si="31"/>
        <v>-2.0500000000000001E-2</v>
      </c>
      <c r="N117" s="416">
        <f t="shared" ca="1" si="31"/>
        <v>-2.0500000000000001E-2</v>
      </c>
    </row>
    <row r="118" spans="1:14" s="147" customFormat="1">
      <c r="C118" s="155" t="str">
        <f>C$42</f>
        <v>Driver 3</v>
      </c>
      <c r="D118" s="416">
        <f>P42</f>
        <v>0</v>
      </c>
      <c r="E118" s="416">
        <f t="shared" ref="E118:N118" si="32">IF($P42="Absolute",E135,IF($P42="Relative",E159,IF($P42="Relative Change",SUM(E174:E175),IF($P42="Non-Linear",E45,0))))</f>
        <v>0</v>
      </c>
      <c r="F118" s="416">
        <f t="shared" si="32"/>
        <v>0</v>
      </c>
      <c r="G118" s="416">
        <f t="shared" si="32"/>
        <v>0</v>
      </c>
      <c r="H118" s="416">
        <f t="shared" si="32"/>
        <v>0</v>
      </c>
      <c r="I118" s="416">
        <f t="shared" si="32"/>
        <v>0</v>
      </c>
      <c r="J118" s="416">
        <f t="shared" si="32"/>
        <v>0</v>
      </c>
      <c r="K118" s="416">
        <f t="shared" si="32"/>
        <v>0</v>
      </c>
      <c r="L118" s="416">
        <f t="shared" si="32"/>
        <v>0</v>
      </c>
      <c r="M118" s="416">
        <f t="shared" si="32"/>
        <v>0</v>
      </c>
      <c r="N118" s="416">
        <f t="shared" si="32"/>
        <v>0</v>
      </c>
    </row>
    <row r="119" spans="1:14" s="147" customFormat="1">
      <c r="C119" s="155" t="str">
        <f>C$47</f>
        <v xml:space="preserve">Driver 4 </v>
      </c>
      <c r="D119" s="416">
        <f>P47</f>
        <v>0</v>
      </c>
      <c r="E119" s="416">
        <f t="shared" ref="E119:N119" si="33">IF($P47="Absolute",E136,IF($P47="Relative",E160,IF($P47="Relative Change",SUM(E176:E177),IF($P47="Non-Linear",E50,0))))</f>
        <v>0</v>
      </c>
      <c r="F119" s="416">
        <f t="shared" si="33"/>
        <v>0</v>
      </c>
      <c r="G119" s="416">
        <f t="shared" si="33"/>
        <v>0</v>
      </c>
      <c r="H119" s="416">
        <f t="shared" si="33"/>
        <v>0</v>
      </c>
      <c r="I119" s="416">
        <f t="shared" si="33"/>
        <v>0</v>
      </c>
      <c r="J119" s="416">
        <f t="shared" si="33"/>
        <v>0</v>
      </c>
      <c r="K119" s="416">
        <f t="shared" si="33"/>
        <v>0</v>
      </c>
      <c r="L119" s="416">
        <f t="shared" si="33"/>
        <v>0</v>
      </c>
      <c r="M119" s="416">
        <f t="shared" si="33"/>
        <v>0</v>
      </c>
      <c r="N119" s="416">
        <f t="shared" si="33"/>
        <v>0</v>
      </c>
    </row>
    <row r="120" spans="1:14" s="147" customFormat="1">
      <c r="C120" s="155" t="str">
        <f>C$52</f>
        <v xml:space="preserve">Driver 5 </v>
      </c>
      <c r="D120" s="416">
        <f>P52</f>
        <v>0</v>
      </c>
      <c r="E120" s="416">
        <f t="shared" ref="E120:N120" si="34">IF($P52="Absolute",E137,IF($P52="Relative",E161,IF($P52="Relative Change",SUM(E178:E179),IF($P52="Non-Linear",E55,0))))</f>
        <v>0</v>
      </c>
      <c r="F120" s="416">
        <f t="shared" si="34"/>
        <v>0</v>
      </c>
      <c r="G120" s="416">
        <f t="shared" si="34"/>
        <v>0</v>
      </c>
      <c r="H120" s="416">
        <f t="shared" si="34"/>
        <v>0</v>
      </c>
      <c r="I120" s="416">
        <f t="shared" si="34"/>
        <v>0</v>
      </c>
      <c r="J120" s="416">
        <f t="shared" si="34"/>
        <v>0</v>
      </c>
      <c r="K120" s="416">
        <f t="shared" si="34"/>
        <v>0</v>
      </c>
      <c r="L120" s="416">
        <f t="shared" si="34"/>
        <v>0</v>
      </c>
      <c r="M120" s="416">
        <f t="shared" si="34"/>
        <v>0</v>
      </c>
      <c r="N120" s="416">
        <f t="shared" si="34"/>
        <v>0</v>
      </c>
    </row>
    <row r="121" spans="1:14" s="147" customFormat="1">
      <c r="C121" s="155" t="str">
        <f>C$57</f>
        <v xml:space="preserve">Driver 6 </v>
      </c>
      <c r="D121" s="416">
        <f>P57</f>
        <v>0</v>
      </c>
      <c r="E121" s="416">
        <f t="shared" ref="E121:N121" si="35">IF($P57="Absolute",E138,IF($P57="Relative",E162,IF($P57="Relative Change",SUM(E180:E181),IF($P57="Non-Linear",E60,0))))</f>
        <v>0</v>
      </c>
      <c r="F121" s="416">
        <f t="shared" si="35"/>
        <v>0</v>
      </c>
      <c r="G121" s="416">
        <f t="shared" si="35"/>
        <v>0</v>
      </c>
      <c r="H121" s="416">
        <f t="shared" si="35"/>
        <v>0</v>
      </c>
      <c r="I121" s="416">
        <f t="shared" si="35"/>
        <v>0</v>
      </c>
      <c r="J121" s="416">
        <f t="shared" si="35"/>
        <v>0</v>
      </c>
      <c r="K121" s="416">
        <f t="shared" si="35"/>
        <v>0</v>
      </c>
      <c r="L121" s="416">
        <f t="shared" si="35"/>
        <v>0</v>
      </c>
      <c r="M121" s="416">
        <f t="shared" si="35"/>
        <v>0</v>
      </c>
      <c r="N121" s="416">
        <f t="shared" si="35"/>
        <v>0</v>
      </c>
    </row>
    <row r="122" spans="1:14" s="147" customFormat="1">
      <c r="C122" s="155" t="str">
        <f>C$62</f>
        <v xml:space="preserve">Driver 7 </v>
      </c>
      <c r="D122" s="416">
        <f>P62</f>
        <v>0</v>
      </c>
      <c r="E122" s="416">
        <f t="shared" ref="E122:N122" si="36">IF($P62="Absolute",E139,IF($P62="Relative",E163,IF($P62="Relative Change",SUM(E182:E183),IF($P62="Non-Linear",E65,0))))</f>
        <v>0</v>
      </c>
      <c r="F122" s="416">
        <f t="shared" si="36"/>
        <v>0</v>
      </c>
      <c r="G122" s="416">
        <f t="shared" si="36"/>
        <v>0</v>
      </c>
      <c r="H122" s="416">
        <f t="shared" si="36"/>
        <v>0</v>
      </c>
      <c r="I122" s="416">
        <f t="shared" si="36"/>
        <v>0</v>
      </c>
      <c r="J122" s="416">
        <f t="shared" si="36"/>
        <v>0</v>
      </c>
      <c r="K122" s="416">
        <f t="shared" si="36"/>
        <v>0</v>
      </c>
      <c r="L122" s="416">
        <f t="shared" si="36"/>
        <v>0</v>
      </c>
      <c r="M122" s="416">
        <f t="shared" si="36"/>
        <v>0</v>
      </c>
      <c r="N122" s="416">
        <f t="shared" si="36"/>
        <v>0</v>
      </c>
    </row>
    <row r="123" spans="1:14" s="147" customFormat="1">
      <c r="C123" s="155" t="str">
        <f>C$67</f>
        <v xml:space="preserve">Driver 8 </v>
      </c>
      <c r="D123" s="416">
        <f>P67</f>
        <v>0</v>
      </c>
      <c r="E123" s="416">
        <f t="shared" ref="E123:N123" si="37">IF($P67="Absolute",E140,IF($P67="Relative",E164,IF($P67="Relative Change",SUM(E184:E185),IF($P67="Non-Linear",E70,0))))</f>
        <v>0</v>
      </c>
      <c r="F123" s="416">
        <f t="shared" si="37"/>
        <v>0</v>
      </c>
      <c r="G123" s="416">
        <f t="shared" si="37"/>
        <v>0</v>
      </c>
      <c r="H123" s="416">
        <f t="shared" si="37"/>
        <v>0</v>
      </c>
      <c r="I123" s="416">
        <f t="shared" si="37"/>
        <v>0</v>
      </c>
      <c r="J123" s="416">
        <f t="shared" si="37"/>
        <v>0</v>
      </c>
      <c r="K123" s="416">
        <f t="shared" si="37"/>
        <v>0</v>
      </c>
      <c r="L123" s="416">
        <f t="shared" si="37"/>
        <v>0</v>
      </c>
      <c r="M123" s="416">
        <f t="shared" si="37"/>
        <v>0</v>
      </c>
      <c r="N123" s="416">
        <f t="shared" si="37"/>
        <v>0</v>
      </c>
    </row>
    <row r="124" spans="1:14" s="147" customFormat="1">
      <c r="C124" s="155" t="str">
        <f>C$72</f>
        <v xml:space="preserve">Driver 9 </v>
      </c>
      <c r="D124" s="416">
        <f>P72</f>
        <v>0</v>
      </c>
      <c r="E124" s="416">
        <f t="shared" ref="E124:N124" si="38">IF($P72="Absolute",E141,IF($P72="Relative",E165,IF($P72="Relative Change",SUM(E186:E187),IF($P72="Non-Linear",E75,0))))</f>
        <v>0</v>
      </c>
      <c r="F124" s="416">
        <f t="shared" si="38"/>
        <v>0</v>
      </c>
      <c r="G124" s="416">
        <f t="shared" si="38"/>
        <v>0</v>
      </c>
      <c r="H124" s="416">
        <f t="shared" si="38"/>
        <v>0</v>
      </c>
      <c r="I124" s="416">
        <f t="shared" si="38"/>
        <v>0</v>
      </c>
      <c r="J124" s="416">
        <f t="shared" si="38"/>
        <v>0</v>
      </c>
      <c r="K124" s="416">
        <f t="shared" si="38"/>
        <v>0</v>
      </c>
      <c r="L124" s="416">
        <f t="shared" si="38"/>
        <v>0</v>
      </c>
      <c r="M124" s="416">
        <f t="shared" si="38"/>
        <v>0</v>
      </c>
      <c r="N124" s="416">
        <f t="shared" si="38"/>
        <v>0</v>
      </c>
    </row>
    <row r="125" spans="1:14" s="147" customFormat="1">
      <c r="C125" s="155" t="str">
        <f>C$77</f>
        <v xml:space="preserve">Driver 10 </v>
      </c>
      <c r="D125" s="416">
        <f>P77</f>
        <v>0</v>
      </c>
      <c r="E125" s="416">
        <f t="shared" ref="E125:N125" si="39">IF($P77="Absolute",E142,IF($P77="Relative",E166,IF($P77="Relative Change",SUM(E188:E189),IF($P77="Non-Linear",E80,0))))</f>
        <v>0</v>
      </c>
      <c r="F125" s="416">
        <f t="shared" si="39"/>
        <v>0</v>
      </c>
      <c r="G125" s="416">
        <f t="shared" si="39"/>
        <v>0</v>
      </c>
      <c r="H125" s="416">
        <f t="shared" si="39"/>
        <v>0</v>
      </c>
      <c r="I125" s="416">
        <f t="shared" si="39"/>
        <v>0</v>
      </c>
      <c r="J125" s="416">
        <f t="shared" si="39"/>
        <v>0</v>
      </c>
      <c r="K125" s="416">
        <f t="shared" si="39"/>
        <v>0</v>
      </c>
      <c r="L125" s="416">
        <f t="shared" si="39"/>
        <v>0</v>
      </c>
      <c r="M125" s="416">
        <f t="shared" si="39"/>
        <v>0</v>
      </c>
      <c r="N125" s="416">
        <f t="shared" si="39"/>
        <v>0</v>
      </c>
    </row>
    <row r="126" spans="1:14" s="147" customFormat="1">
      <c r="C126" s="147" t="s">
        <v>986</v>
      </c>
      <c r="E126" s="416">
        <f t="shared" ref="E126:N126" si="40">E$82</f>
        <v>0</v>
      </c>
      <c r="F126" s="416">
        <f t="shared" si="40"/>
        <v>0</v>
      </c>
      <c r="G126" s="416">
        <f t="shared" si="40"/>
        <v>0</v>
      </c>
      <c r="H126" s="416">
        <f t="shared" si="40"/>
        <v>0</v>
      </c>
      <c r="I126" s="416">
        <f t="shared" si="40"/>
        <v>0</v>
      </c>
      <c r="J126" s="416">
        <f t="shared" si="40"/>
        <v>0</v>
      </c>
      <c r="K126" s="416">
        <f t="shared" si="40"/>
        <v>0</v>
      </c>
      <c r="L126" s="416">
        <f t="shared" si="40"/>
        <v>0</v>
      </c>
      <c r="M126" s="416">
        <f t="shared" si="40"/>
        <v>0</v>
      </c>
      <c r="N126" s="416">
        <f t="shared" si="40"/>
        <v>0</v>
      </c>
    </row>
    <row r="127" spans="1:14" s="147" customFormat="1">
      <c r="C127" s="147" t="s">
        <v>935</v>
      </c>
      <c r="E127" s="416">
        <f t="shared" ref="E127:N127" si="41">E$84</f>
        <v>0</v>
      </c>
      <c r="F127" s="416">
        <f t="shared" si="41"/>
        <v>0</v>
      </c>
      <c r="G127" s="416">
        <f t="shared" si="41"/>
        <v>0</v>
      </c>
      <c r="H127" s="416">
        <f t="shared" si="41"/>
        <v>0</v>
      </c>
      <c r="I127" s="416">
        <f t="shared" si="41"/>
        <v>0</v>
      </c>
      <c r="J127" s="416">
        <f t="shared" si="41"/>
        <v>0</v>
      </c>
      <c r="K127" s="416">
        <f t="shared" si="41"/>
        <v>0</v>
      </c>
      <c r="L127" s="416">
        <f t="shared" si="41"/>
        <v>0</v>
      </c>
      <c r="M127" s="416">
        <f t="shared" si="41"/>
        <v>0</v>
      </c>
      <c r="N127" s="416">
        <f t="shared" si="41"/>
        <v>0</v>
      </c>
    </row>
    <row r="128" spans="1:14" s="423" customFormat="1" ht="1.5" customHeight="1">
      <c r="D128" s="425"/>
      <c r="E128" s="424"/>
      <c r="F128" s="424"/>
      <c r="G128" s="424"/>
      <c r="H128" s="424"/>
      <c r="I128" s="424"/>
      <c r="J128" s="424"/>
      <c r="K128" s="424"/>
      <c r="L128" s="424"/>
      <c r="M128" s="424"/>
      <c r="N128" s="424"/>
    </row>
    <row r="129" spans="1:16">
      <c r="C129" s="158" t="str">
        <f>"Ending "&amp;$D$19</f>
        <v>Ending Execution</v>
      </c>
      <c r="E129" s="416">
        <f t="shared" ref="E129:N129" ca="1" si="42">MAX(MIN(IF($D$23=0,E115,SUM(E115:E127)),$E$86),$E$87)</f>
        <v>0.68185499999999999</v>
      </c>
      <c r="F129" s="416">
        <f t="shared" ca="1" si="42"/>
        <v>0.68185499999999999</v>
      </c>
      <c r="G129" s="416">
        <f t="shared" ca="1" si="42"/>
        <v>0.68185499999999999</v>
      </c>
      <c r="H129" s="416">
        <f t="shared" ca="1" si="42"/>
        <v>0.68185499999999999</v>
      </c>
      <c r="I129" s="416">
        <f t="shared" ca="1" si="42"/>
        <v>0.68185499999999999</v>
      </c>
      <c r="J129" s="416">
        <f t="shared" ca="1" si="42"/>
        <v>0.68185499999999999</v>
      </c>
      <c r="K129" s="416">
        <f t="shared" ca="1" si="42"/>
        <v>0.68185499999999999</v>
      </c>
      <c r="L129" s="416">
        <f t="shared" ca="1" si="42"/>
        <v>0.68185499999999999</v>
      </c>
      <c r="M129" s="416">
        <f t="shared" ca="1" si="42"/>
        <v>0.68185499999999999</v>
      </c>
      <c r="N129" s="416">
        <f t="shared" ca="1" si="42"/>
        <v>0.68185499999999999</v>
      </c>
    </row>
    <row r="130" spans="1:16" s="147" customFormat="1">
      <c r="P130" s="154"/>
    </row>
    <row r="131" spans="1:16" s="149" customFormat="1">
      <c r="A131" s="148"/>
      <c r="C131" s="149" t="s">
        <v>934</v>
      </c>
      <c r="E131" s="150"/>
      <c r="F131" s="150"/>
      <c r="G131" s="150"/>
      <c r="H131" s="150"/>
      <c r="I131" s="150"/>
      <c r="J131" s="150"/>
      <c r="K131" s="150"/>
      <c r="L131" s="150"/>
      <c r="M131" s="150"/>
      <c r="N131" s="150"/>
    </row>
    <row r="133" spans="1:16" s="147" customFormat="1">
      <c r="C133" s="155" t="str">
        <f>C$32</f>
        <v>Internal Readiness</v>
      </c>
      <c r="E133" s="416">
        <f t="shared" ref="E133:N133" si="43">INDEX($R33:$W33,E33+1)</f>
        <v>0</v>
      </c>
      <c r="F133" s="416">
        <f t="shared" si="43"/>
        <v>0</v>
      </c>
      <c r="G133" s="416">
        <f t="shared" si="43"/>
        <v>0</v>
      </c>
      <c r="H133" s="416">
        <f t="shared" si="43"/>
        <v>0</v>
      </c>
      <c r="I133" s="416">
        <f t="shared" si="43"/>
        <v>0</v>
      </c>
      <c r="J133" s="416">
        <f t="shared" si="43"/>
        <v>0</v>
      </c>
      <c r="K133" s="416">
        <f t="shared" si="43"/>
        <v>0</v>
      </c>
      <c r="L133" s="416">
        <f t="shared" si="43"/>
        <v>0</v>
      </c>
      <c r="M133" s="416">
        <f t="shared" si="43"/>
        <v>0</v>
      </c>
      <c r="N133" s="416">
        <f t="shared" si="43"/>
        <v>0</v>
      </c>
    </row>
    <row r="134" spans="1:16" s="147" customFormat="1">
      <c r="C134" s="155" t="str">
        <f>C$37</f>
        <v>Collaboration</v>
      </c>
      <c r="E134" s="416">
        <f t="shared" ref="E134:N134" si="44">INDEX($R38:$W38,E38+1)</f>
        <v>0</v>
      </c>
      <c r="F134" s="416">
        <f t="shared" si="44"/>
        <v>0</v>
      </c>
      <c r="G134" s="416">
        <f t="shared" si="44"/>
        <v>0</v>
      </c>
      <c r="H134" s="416">
        <f t="shared" si="44"/>
        <v>0</v>
      </c>
      <c r="I134" s="416">
        <f t="shared" si="44"/>
        <v>0</v>
      </c>
      <c r="J134" s="416">
        <f t="shared" si="44"/>
        <v>0</v>
      </c>
      <c r="K134" s="416">
        <f t="shared" si="44"/>
        <v>0</v>
      </c>
      <c r="L134" s="416">
        <f t="shared" si="44"/>
        <v>0</v>
      </c>
      <c r="M134" s="416">
        <f t="shared" si="44"/>
        <v>0</v>
      </c>
      <c r="N134" s="416">
        <f t="shared" si="44"/>
        <v>0</v>
      </c>
    </row>
    <row r="135" spans="1:16" s="147" customFormat="1">
      <c r="C135" s="155" t="str">
        <f>C$42</f>
        <v>Driver 3</v>
      </c>
      <c r="E135" s="416">
        <f t="shared" ref="E135:N135" si="45">INDEX($R43:$W43,E43+1)</f>
        <v>0</v>
      </c>
      <c r="F135" s="416">
        <f t="shared" si="45"/>
        <v>0</v>
      </c>
      <c r="G135" s="416">
        <f t="shared" si="45"/>
        <v>0</v>
      </c>
      <c r="H135" s="416">
        <f t="shared" si="45"/>
        <v>0</v>
      </c>
      <c r="I135" s="416">
        <f t="shared" si="45"/>
        <v>0</v>
      </c>
      <c r="J135" s="416">
        <f t="shared" si="45"/>
        <v>0</v>
      </c>
      <c r="K135" s="416">
        <f t="shared" si="45"/>
        <v>0</v>
      </c>
      <c r="L135" s="416">
        <f t="shared" si="45"/>
        <v>0</v>
      </c>
      <c r="M135" s="416">
        <f t="shared" si="45"/>
        <v>0</v>
      </c>
      <c r="N135" s="416">
        <f t="shared" si="45"/>
        <v>0</v>
      </c>
    </row>
    <row r="136" spans="1:16" s="147" customFormat="1">
      <c r="C136" s="155" t="str">
        <f>C$47</f>
        <v xml:space="preserve">Driver 4 </v>
      </c>
      <c r="E136" s="416">
        <f t="shared" ref="E136:N136" si="46">INDEX($R48:$W48,E48+1)</f>
        <v>0</v>
      </c>
      <c r="F136" s="416">
        <f t="shared" si="46"/>
        <v>0</v>
      </c>
      <c r="G136" s="416">
        <f t="shared" si="46"/>
        <v>0</v>
      </c>
      <c r="H136" s="416">
        <f t="shared" si="46"/>
        <v>0</v>
      </c>
      <c r="I136" s="416">
        <f t="shared" si="46"/>
        <v>0</v>
      </c>
      <c r="J136" s="416">
        <f t="shared" si="46"/>
        <v>0</v>
      </c>
      <c r="K136" s="416">
        <f t="shared" si="46"/>
        <v>0</v>
      </c>
      <c r="L136" s="416">
        <f t="shared" si="46"/>
        <v>0</v>
      </c>
      <c r="M136" s="416">
        <f t="shared" si="46"/>
        <v>0</v>
      </c>
      <c r="N136" s="416">
        <f t="shared" si="46"/>
        <v>0</v>
      </c>
    </row>
    <row r="137" spans="1:16" s="147" customFormat="1">
      <c r="C137" s="155" t="str">
        <f>C$52</f>
        <v xml:space="preserve">Driver 5 </v>
      </c>
      <c r="E137" s="416">
        <f t="shared" ref="E137:N137" si="47">INDEX($R53:$W53,E53+1)</f>
        <v>0</v>
      </c>
      <c r="F137" s="416">
        <f t="shared" si="47"/>
        <v>0</v>
      </c>
      <c r="G137" s="416">
        <f t="shared" si="47"/>
        <v>0</v>
      </c>
      <c r="H137" s="416">
        <f t="shared" si="47"/>
        <v>0</v>
      </c>
      <c r="I137" s="416">
        <f t="shared" si="47"/>
        <v>0</v>
      </c>
      <c r="J137" s="416">
        <f t="shared" si="47"/>
        <v>0</v>
      </c>
      <c r="K137" s="416">
        <f t="shared" si="47"/>
        <v>0</v>
      </c>
      <c r="L137" s="416">
        <f t="shared" si="47"/>
        <v>0</v>
      </c>
      <c r="M137" s="416">
        <f t="shared" si="47"/>
        <v>0</v>
      </c>
      <c r="N137" s="416">
        <f t="shared" si="47"/>
        <v>0</v>
      </c>
    </row>
    <row r="138" spans="1:16" s="147" customFormat="1">
      <c r="C138" s="155" t="str">
        <f>C$57</f>
        <v xml:space="preserve">Driver 6 </v>
      </c>
      <c r="E138" s="416">
        <f t="shared" ref="E138:N138" si="48">INDEX($R58:$W58,E58+1)</f>
        <v>0</v>
      </c>
      <c r="F138" s="416">
        <f t="shared" si="48"/>
        <v>0</v>
      </c>
      <c r="G138" s="416">
        <f t="shared" si="48"/>
        <v>0</v>
      </c>
      <c r="H138" s="416">
        <f t="shared" si="48"/>
        <v>0</v>
      </c>
      <c r="I138" s="416">
        <f t="shared" si="48"/>
        <v>0</v>
      </c>
      <c r="J138" s="416">
        <f t="shared" si="48"/>
        <v>0</v>
      </c>
      <c r="K138" s="416">
        <f t="shared" si="48"/>
        <v>0</v>
      </c>
      <c r="L138" s="416">
        <f t="shared" si="48"/>
        <v>0</v>
      </c>
      <c r="M138" s="416">
        <f t="shared" si="48"/>
        <v>0</v>
      </c>
      <c r="N138" s="416">
        <f t="shared" si="48"/>
        <v>0</v>
      </c>
    </row>
    <row r="139" spans="1:16" s="147" customFormat="1">
      <c r="C139" s="155" t="str">
        <f>C$62</f>
        <v xml:space="preserve">Driver 7 </v>
      </c>
      <c r="E139" s="416">
        <f t="shared" ref="E139:N139" si="49">INDEX($R63:$W63,E63+1)</f>
        <v>0</v>
      </c>
      <c r="F139" s="416">
        <f t="shared" si="49"/>
        <v>0</v>
      </c>
      <c r="G139" s="416">
        <f t="shared" si="49"/>
        <v>0</v>
      </c>
      <c r="H139" s="416">
        <f t="shared" si="49"/>
        <v>0</v>
      </c>
      <c r="I139" s="416">
        <f t="shared" si="49"/>
        <v>0</v>
      </c>
      <c r="J139" s="416">
        <f t="shared" si="49"/>
        <v>0</v>
      </c>
      <c r="K139" s="416">
        <f t="shared" si="49"/>
        <v>0</v>
      </c>
      <c r="L139" s="416">
        <f t="shared" si="49"/>
        <v>0</v>
      </c>
      <c r="M139" s="416">
        <f t="shared" si="49"/>
        <v>0</v>
      </c>
      <c r="N139" s="416">
        <f t="shared" si="49"/>
        <v>0</v>
      </c>
    </row>
    <row r="140" spans="1:16" s="147" customFormat="1">
      <c r="C140" s="155" t="str">
        <f>C$67</f>
        <v xml:space="preserve">Driver 8 </v>
      </c>
      <c r="E140" s="416">
        <f t="shared" ref="E140:N140" si="50">INDEX($R68:$W68,E68+1)</f>
        <v>0</v>
      </c>
      <c r="F140" s="416">
        <f t="shared" si="50"/>
        <v>0</v>
      </c>
      <c r="G140" s="416">
        <f t="shared" si="50"/>
        <v>0</v>
      </c>
      <c r="H140" s="416">
        <f t="shared" si="50"/>
        <v>0</v>
      </c>
      <c r="I140" s="416">
        <f t="shared" si="50"/>
        <v>0</v>
      </c>
      <c r="J140" s="416">
        <f t="shared" si="50"/>
        <v>0</v>
      </c>
      <c r="K140" s="416">
        <f t="shared" si="50"/>
        <v>0</v>
      </c>
      <c r="L140" s="416">
        <f t="shared" si="50"/>
        <v>0</v>
      </c>
      <c r="M140" s="416">
        <f t="shared" si="50"/>
        <v>0</v>
      </c>
      <c r="N140" s="416">
        <f t="shared" si="50"/>
        <v>0</v>
      </c>
    </row>
    <row r="141" spans="1:16" s="147" customFormat="1">
      <c r="C141" s="155" t="str">
        <f>C$72</f>
        <v xml:space="preserve">Driver 9 </v>
      </c>
      <c r="E141" s="416">
        <f t="shared" ref="E141:N141" si="51">INDEX($R73:$W73,E73+1)</f>
        <v>0</v>
      </c>
      <c r="F141" s="416">
        <f t="shared" si="51"/>
        <v>0</v>
      </c>
      <c r="G141" s="416">
        <f t="shared" si="51"/>
        <v>0</v>
      </c>
      <c r="H141" s="416">
        <f t="shared" si="51"/>
        <v>0</v>
      </c>
      <c r="I141" s="416">
        <f t="shared" si="51"/>
        <v>0</v>
      </c>
      <c r="J141" s="416">
        <f t="shared" si="51"/>
        <v>0</v>
      </c>
      <c r="K141" s="416">
        <f t="shared" si="51"/>
        <v>0</v>
      </c>
      <c r="L141" s="416">
        <f t="shared" si="51"/>
        <v>0</v>
      </c>
      <c r="M141" s="416">
        <f t="shared" si="51"/>
        <v>0</v>
      </c>
      <c r="N141" s="416">
        <f t="shared" si="51"/>
        <v>0</v>
      </c>
    </row>
    <row r="142" spans="1:16" s="147" customFormat="1">
      <c r="C142" s="155" t="str">
        <f>C$77</f>
        <v xml:space="preserve">Driver 10 </v>
      </c>
      <c r="E142" s="416">
        <f t="shared" ref="E142:N142" si="52">INDEX($R78:$W78,E78+1)</f>
        <v>0</v>
      </c>
      <c r="F142" s="416">
        <f t="shared" si="52"/>
        <v>0</v>
      </c>
      <c r="G142" s="416">
        <f t="shared" si="52"/>
        <v>0</v>
      </c>
      <c r="H142" s="416">
        <f t="shared" si="52"/>
        <v>0</v>
      </c>
      <c r="I142" s="416">
        <f t="shared" si="52"/>
        <v>0</v>
      </c>
      <c r="J142" s="416">
        <f t="shared" si="52"/>
        <v>0</v>
      </c>
      <c r="K142" s="416">
        <f t="shared" si="52"/>
        <v>0</v>
      </c>
      <c r="L142" s="416">
        <f t="shared" si="52"/>
        <v>0</v>
      </c>
      <c r="M142" s="416">
        <f t="shared" si="52"/>
        <v>0</v>
      </c>
      <c r="N142" s="416">
        <f t="shared" si="52"/>
        <v>0</v>
      </c>
    </row>
    <row r="143" spans="1:16" s="147" customFormat="1">
      <c r="P143" s="154"/>
    </row>
    <row r="144" spans="1:16" s="149" customFormat="1">
      <c r="A144" s="148"/>
      <c r="C144" s="149" t="s">
        <v>933</v>
      </c>
      <c r="E144" s="150"/>
      <c r="F144" s="150"/>
      <c r="G144" s="150"/>
      <c r="H144" s="150"/>
      <c r="I144" s="150"/>
      <c r="J144" s="150"/>
      <c r="K144" s="150"/>
      <c r="L144" s="150"/>
      <c r="M144" s="150"/>
      <c r="N144" s="150"/>
    </row>
    <row r="146" spans="3:16" s="147" customFormat="1">
      <c r="C146" s="155" t="str">
        <f>C$32</f>
        <v>Internal Readiness</v>
      </c>
      <c r="E146" s="416">
        <f t="shared" ref="E146:N146" si="53">_xlfn.NORM.DIST(E34,AVERAGE($E34:$N34),IF(_xlfn.STDEV.P($E34:$N34)=0,1,_xlfn.STDEV.P($E34:$N34))*$Z33,TRUE)</f>
        <v>0.84134474606854304</v>
      </c>
      <c r="F146" s="416">
        <f t="shared" si="53"/>
        <v>0.84134474606854304</v>
      </c>
      <c r="G146" s="416">
        <f t="shared" si="53"/>
        <v>0.84134474606854304</v>
      </c>
      <c r="H146" s="416">
        <f t="shared" si="53"/>
        <v>0.84134474606854304</v>
      </c>
      <c r="I146" s="416">
        <f t="shared" si="53"/>
        <v>0.84134474606854304</v>
      </c>
      <c r="J146" s="416">
        <f t="shared" si="53"/>
        <v>0.84134474606854304</v>
      </c>
      <c r="K146" s="416">
        <f t="shared" si="53"/>
        <v>0.84134474606854304</v>
      </c>
      <c r="L146" s="416">
        <f t="shared" si="53"/>
        <v>0.84134474606854304</v>
      </c>
      <c r="M146" s="416">
        <f t="shared" si="53"/>
        <v>0.84134474606854304</v>
      </c>
      <c r="N146" s="416">
        <f t="shared" si="53"/>
        <v>0.84134474606854304</v>
      </c>
      <c r="P146" s="416">
        <f t="shared" ref="P146:P155" si="54">IFERROR(AVERAGE(E146:I146),0)</f>
        <v>0.84134474606854304</v>
      </c>
    </row>
    <row r="147" spans="3:16" s="147" customFormat="1">
      <c r="C147" s="155" t="str">
        <f>C$37</f>
        <v>Collaboration</v>
      </c>
      <c r="E147" s="416">
        <f t="shared" ref="E147:N147" ca="1" si="55">_xlfn.NORM.DIST(E39,AVERAGE($E39:$N39),IF(_xlfn.STDEV.P($E39:$N39)=0,1,_xlfn.STDEV.P($E39:$N39))*$Z38,TRUE)</f>
        <v>0.5</v>
      </c>
      <c r="F147" s="416">
        <f t="shared" ca="1" si="55"/>
        <v>0.5</v>
      </c>
      <c r="G147" s="416">
        <f t="shared" ca="1" si="55"/>
        <v>0.5</v>
      </c>
      <c r="H147" s="416">
        <f t="shared" ca="1" si="55"/>
        <v>0.5</v>
      </c>
      <c r="I147" s="416">
        <f t="shared" ca="1" si="55"/>
        <v>0.5</v>
      </c>
      <c r="J147" s="416">
        <f t="shared" ca="1" si="55"/>
        <v>0.5</v>
      </c>
      <c r="K147" s="416">
        <f t="shared" ca="1" si="55"/>
        <v>0.5</v>
      </c>
      <c r="L147" s="416">
        <f t="shared" ca="1" si="55"/>
        <v>0.5</v>
      </c>
      <c r="M147" s="416">
        <f t="shared" ca="1" si="55"/>
        <v>0.5</v>
      </c>
      <c r="N147" s="416">
        <f t="shared" ca="1" si="55"/>
        <v>0.5</v>
      </c>
      <c r="P147" s="416">
        <f t="shared" ca="1" si="54"/>
        <v>0.5</v>
      </c>
    </row>
    <row r="148" spans="3:16" s="147" customFormat="1">
      <c r="C148" s="155" t="str">
        <f>C$42</f>
        <v>Driver 3</v>
      </c>
      <c r="E148" s="416">
        <f t="shared" ref="E148:N148" si="56">_xlfn.NORM.DIST(E44,AVERAGE($E44:$N44),IF(_xlfn.STDEV.P($E44:$N44)=0,1,_xlfn.STDEV.P($E44:$N44))*$Z43,TRUE)</f>
        <v>0.5</v>
      </c>
      <c r="F148" s="416">
        <f t="shared" si="56"/>
        <v>0.5</v>
      </c>
      <c r="G148" s="416">
        <f t="shared" si="56"/>
        <v>0.5</v>
      </c>
      <c r="H148" s="416">
        <f t="shared" si="56"/>
        <v>0.5</v>
      </c>
      <c r="I148" s="416">
        <f t="shared" si="56"/>
        <v>0.5</v>
      </c>
      <c r="J148" s="416">
        <f t="shared" si="56"/>
        <v>0.5</v>
      </c>
      <c r="K148" s="416">
        <f t="shared" si="56"/>
        <v>0.5</v>
      </c>
      <c r="L148" s="416">
        <f t="shared" si="56"/>
        <v>0.5</v>
      </c>
      <c r="M148" s="416">
        <f t="shared" si="56"/>
        <v>0.5</v>
      </c>
      <c r="N148" s="416">
        <f t="shared" si="56"/>
        <v>0.5</v>
      </c>
      <c r="P148" s="416">
        <f t="shared" si="54"/>
        <v>0.5</v>
      </c>
    </row>
    <row r="149" spans="3:16" s="147" customFormat="1">
      <c r="C149" s="155" t="str">
        <f>C$47</f>
        <v xml:space="preserve">Driver 4 </v>
      </c>
      <c r="E149" s="416">
        <f t="shared" ref="E149:N149" si="57">_xlfn.NORM.DIST(E49,AVERAGE($E49:$N49),IF(_xlfn.STDEV.P($E49:$N49)=0,1,_xlfn.STDEV.P($E49:$N49))*$Z48,TRUE)</f>
        <v>0.5</v>
      </c>
      <c r="F149" s="416">
        <f t="shared" si="57"/>
        <v>0.5</v>
      </c>
      <c r="G149" s="416">
        <f t="shared" si="57"/>
        <v>0.5</v>
      </c>
      <c r="H149" s="416">
        <f t="shared" si="57"/>
        <v>0.5</v>
      </c>
      <c r="I149" s="416">
        <f t="shared" si="57"/>
        <v>0.5</v>
      </c>
      <c r="J149" s="416">
        <f t="shared" si="57"/>
        <v>0.5</v>
      </c>
      <c r="K149" s="416">
        <f t="shared" si="57"/>
        <v>0.5</v>
      </c>
      <c r="L149" s="416">
        <f t="shared" si="57"/>
        <v>0.5</v>
      </c>
      <c r="M149" s="416">
        <f t="shared" si="57"/>
        <v>0.5</v>
      </c>
      <c r="N149" s="416">
        <f t="shared" si="57"/>
        <v>0.5</v>
      </c>
      <c r="P149" s="416">
        <f t="shared" si="54"/>
        <v>0.5</v>
      </c>
    </row>
    <row r="150" spans="3:16" s="147" customFormat="1">
      <c r="C150" s="155" t="str">
        <f>C$52</f>
        <v xml:space="preserve">Driver 5 </v>
      </c>
      <c r="E150" s="416">
        <f t="shared" ref="E150:N150" si="58">_xlfn.NORM.DIST(E54,AVERAGE($E54:$N54),IF(_xlfn.STDEV.P($E54:$N54)=0,1,_xlfn.STDEV.P($E54:$N54))*$Z53,TRUE)</f>
        <v>0.5</v>
      </c>
      <c r="F150" s="416">
        <f t="shared" si="58"/>
        <v>0.5</v>
      </c>
      <c r="G150" s="416">
        <f t="shared" si="58"/>
        <v>0.5</v>
      </c>
      <c r="H150" s="416">
        <f t="shared" si="58"/>
        <v>0.5</v>
      </c>
      <c r="I150" s="416">
        <f t="shared" si="58"/>
        <v>0.5</v>
      </c>
      <c r="J150" s="416">
        <f t="shared" si="58"/>
        <v>0.5</v>
      </c>
      <c r="K150" s="416">
        <f t="shared" si="58"/>
        <v>0.5</v>
      </c>
      <c r="L150" s="416">
        <f t="shared" si="58"/>
        <v>0.5</v>
      </c>
      <c r="M150" s="416">
        <f t="shared" si="58"/>
        <v>0.5</v>
      </c>
      <c r="N150" s="416">
        <f t="shared" si="58"/>
        <v>0.5</v>
      </c>
      <c r="P150" s="416">
        <f t="shared" si="54"/>
        <v>0.5</v>
      </c>
    </row>
    <row r="151" spans="3:16" s="147" customFormat="1">
      <c r="C151" s="155" t="str">
        <f>C$57</f>
        <v xml:space="preserve">Driver 6 </v>
      </c>
      <c r="E151" s="416">
        <f t="shared" ref="E151:N151" si="59">_xlfn.NORM.DIST(E59,AVERAGE($E59:$N59),IF(_xlfn.STDEV.P($E59:$N59)=0,1,_xlfn.STDEV.P($E59:$N59))*$Z58,TRUE)</f>
        <v>0.5</v>
      </c>
      <c r="F151" s="416">
        <f t="shared" si="59"/>
        <v>0.5</v>
      </c>
      <c r="G151" s="416">
        <f t="shared" si="59"/>
        <v>0.5</v>
      </c>
      <c r="H151" s="416">
        <f t="shared" si="59"/>
        <v>0.5</v>
      </c>
      <c r="I151" s="416">
        <f t="shared" si="59"/>
        <v>0.5</v>
      </c>
      <c r="J151" s="416">
        <f t="shared" si="59"/>
        <v>0.5</v>
      </c>
      <c r="K151" s="416">
        <f t="shared" si="59"/>
        <v>0.5</v>
      </c>
      <c r="L151" s="416">
        <f t="shared" si="59"/>
        <v>0.5</v>
      </c>
      <c r="M151" s="416">
        <f t="shared" si="59"/>
        <v>0.5</v>
      </c>
      <c r="N151" s="416">
        <f t="shared" si="59"/>
        <v>0.5</v>
      </c>
      <c r="P151" s="416">
        <f t="shared" si="54"/>
        <v>0.5</v>
      </c>
    </row>
    <row r="152" spans="3:16" s="147" customFormat="1">
      <c r="C152" s="155" t="str">
        <f>C$62</f>
        <v xml:space="preserve">Driver 7 </v>
      </c>
      <c r="E152" s="416">
        <f t="shared" ref="E152:N152" si="60">_xlfn.NORM.DIST(E64,AVERAGE($E64:$N64),IF(_xlfn.STDEV.P($E64:$N64)=0,1,_xlfn.STDEV.P($E64:$N64))*$Z63,TRUE)</f>
        <v>0.5</v>
      </c>
      <c r="F152" s="416">
        <f t="shared" si="60"/>
        <v>0.5</v>
      </c>
      <c r="G152" s="416">
        <f t="shared" si="60"/>
        <v>0.5</v>
      </c>
      <c r="H152" s="416">
        <f t="shared" si="60"/>
        <v>0.5</v>
      </c>
      <c r="I152" s="416">
        <f t="shared" si="60"/>
        <v>0.5</v>
      </c>
      <c r="J152" s="416">
        <f t="shared" si="60"/>
        <v>0.5</v>
      </c>
      <c r="K152" s="416">
        <f t="shared" si="60"/>
        <v>0.5</v>
      </c>
      <c r="L152" s="416">
        <f t="shared" si="60"/>
        <v>0.5</v>
      </c>
      <c r="M152" s="416">
        <f t="shared" si="60"/>
        <v>0.5</v>
      </c>
      <c r="N152" s="416">
        <f t="shared" si="60"/>
        <v>0.5</v>
      </c>
      <c r="P152" s="416">
        <f t="shared" si="54"/>
        <v>0.5</v>
      </c>
    </row>
    <row r="153" spans="3:16" s="147" customFormat="1">
      <c r="C153" s="155" t="str">
        <f>C$67</f>
        <v xml:space="preserve">Driver 8 </v>
      </c>
      <c r="E153" s="416">
        <f t="shared" ref="E153:N153" si="61">_xlfn.NORM.DIST(E69,AVERAGE($E69:$N69),IF(_xlfn.STDEV.P($E69:$N69)=0,1,_xlfn.STDEV.P($E69:$N69))*$Z68,TRUE)</f>
        <v>0.5</v>
      </c>
      <c r="F153" s="416">
        <f t="shared" si="61"/>
        <v>0.5</v>
      </c>
      <c r="G153" s="416">
        <f t="shared" si="61"/>
        <v>0.5</v>
      </c>
      <c r="H153" s="416">
        <f t="shared" si="61"/>
        <v>0.5</v>
      </c>
      <c r="I153" s="416">
        <f t="shared" si="61"/>
        <v>0.5</v>
      </c>
      <c r="J153" s="416">
        <f t="shared" si="61"/>
        <v>0.5</v>
      </c>
      <c r="K153" s="416">
        <f t="shared" si="61"/>
        <v>0.5</v>
      </c>
      <c r="L153" s="416">
        <f t="shared" si="61"/>
        <v>0.5</v>
      </c>
      <c r="M153" s="416">
        <f t="shared" si="61"/>
        <v>0.5</v>
      </c>
      <c r="N153" s="416">
        <f t="shared" si="61"/>
        <v>0.5</v>
      </c>
      <c r="P153" s="416">
        <f t="shared" si="54"/>
        <v>0.5</v>
      </c>
    </row>
    <row r="154" spans="3:16" s="147" customFormat="1">
      <c r="C154" s="155" t="str">
        <f>C$72</f>
        <v xml:space="preserve">Driver 9 </v>
      </c>
      <c r="E154" s="416">
        <f t="shared" ref="E154:N154" si="62">_xlfn.NORM.DIST(E74,AVERAGE($E74:$N74),IF(_xlfn.STDEV.P($E74:$N74)=0,1,_xlfn.STDEV.P($E74:$N74))*$Z73,TRUE)</f>
        <v>0.5</v>
      </c>
      <c r="F154" s="416">
        <f t="shared" si="62"/>
        <v>0.5</v>
      </c>
      <c r="G154" s="416">
        <f t="shared" si="62"/>
        <v>0.5</v>
      </c>
      <c r="H154" s="416">
        <f t="shared" si="62"/>
        <v>0.5</v>
      </c>
      <c r="I154" s="416">
        <f t="shared" si="62"/>
        <v>0.5</v>
      </c>
      <c r="J154" s="416">
        <f t="shared" si="62"/>
        <v>0.5</v>
      </c>
      <c r="K154" s="416">
        <f t="shared" si="62"/>
        <v>0.5</v>
      </c>
      <c r="L154" s="416">
        <f t="shared" si="62"/>
        <v>0.5</v>
      </c>
      <c r="M154" s="416">
        <f t="shared" si="62"/>
        <v>0.5</v>
      </c>
      <c r="N154" s="416">
        <f t="shared" si="62"/>
        <v>0.5</v>
      </c>
      <c r="P154" s="416">
        <f t="shared" si="54"/>
        <v>0.5</v>
      </c>
    </row>
    <row r="155" spans="3:16" s="147" customFormat="1">
      <c r="C155" s="155" t="str">
        <f>C$77</f>
        <v xml:space="preserve">Driver 10 </v>
      </c>
      <c r="E155" s="416">
        <f t="shared" ref="E155:N155" si="63">_xlfn.NORM.DIST(E79,AVERAGE($E79:$N79),IF(_xlfn.STDEV.P($E79:$N79)=0,1,_xlfn.STDEV.P($E79:$N79))*$Z78,TRUE)</f>
        <v>0.5</v>
      </c>
      <c r="F155" s="416">
        <f t="shared" si="63"/>
        <v>0.5</v>
      </c>
      <c r="G155" s="416">
        <f t="shared" si="63"/>
        <v>0.5</v>
      </c>
      <c r="H155" s="416">
        <f t="shared" si="63"/>
        <v>0.5</v>
      </c>
      <c r="I155" s="416">
        <f t="shared" si="63"/>
        <v>0.5</v>
      </c>
      <c r="J155" s="416">
        <f t="shared" si="63"/>
        <v>0.5</v>
      </c>
      <c r="K155" s="416">
        <f t="shared" si="63"/>
        <v>0.5</v>
      </c>
      <c r="L155" s="416">
        <f t="shared" si="63"/>
        <v>0.5</v>
      </c>
      <c r="M155" s="416">
        <f t="shared" si="63"/>
        <v>0.5</v>
      </c>
      <c r="N155" s="416">
        <f t="shared" si="63"/>
        <v>0.5</v>
      </c>
      <c r="P155" s="416">
        <f t="shared" si="54"/>
        <v>0.5</v>
      </c>
    </row>
    <row r="157" spans="3:16" s="147" customFormat="1">
      <c r="C157" s="155" t="str">
        <f>C$32</f>
        <v>Internal Readiness</v>
      </c>
      <c r="E157" s="416">
        <f t="shared" ref="E157:N157" si="64">IF($D$21=1,0,(E146-$P146)*$P34*$Y33)</f>
        <v>0</v>
      </c>
      <c r="F157" s="416">
        <f t="shared" si="64"/>
        <v>0</v>
      </c>
      <c r="G157" s="416">
        <f t="shared" si="64"/>
        <v>0</v>
      </c>
      <c r="H157" s="416">
        <f t="shared" si="64"/>
        <v>0</v>
      </c>
      <c r="I157" s="416">
        <f t="shared" si="64"/>
        <v>0</v>
      </c>
      <c r="J157" s="416">
        <f t="shared" si="64"/>
        <v>0</v>
      </c>
      <c r="K157" s="416">
        <f t="shared" si="64"/>
        <v>0</v>
      </c>
      <c r="L157" s="416">
        <f t="shared" si="64"/>
        <v>0</v>
      </c>
      <c r="M157" s="416">
        <f t="shared" si="64"/>
        <v>0</v>
      </c>
      <c r="N157" s="416">
        <f t="shared" si="64"/>
        <v>0</v>
      </c>
    </row>
    <row r="158" spans="3:16" s="147" customFormat="1">
      <c r="C158" s="155" t="str">
        <f>C$37</f>
        <v>Collaboration</v>
      </c>
      <c r="E158" s="416">
        <f t="shared" ref="E158:N158" si="65">IF($D$21=1,0,(E147-$P147)*$P39*$Y38)</f>
        <v>0</v>
      </c>
      <c r="F158" s="416">
        <f t="shared" si="65"/>
        <v>0</v>
      </c>
      <c r="G158" s="416">
        <f t="shared" si="65"/>
        <v>0</v>
      </c>
      <c r="H158" s="416">
        <f t="shared" si="65"/>
        <v>0</v>
      </c>
      <c r="I158" s="416">
        <f t="shared" si="65"/>
        <v>0</v>
      </c>
      <c r="J158" s="416">
        <f t="shared" si="65"/>
        <v>0</v>
      </c>
      <c r="K158" s="416">
        <f t="shared" si="65"/>
        <v>0</v>
      </c>
      <c r="L158" s="416">
        <f t="shared" si="65"/>
        <v>0</v>
      </c>
      <c r="M158" s="416">
        <f t="shared" si="65"/>
        <v>0</v>
      </c>
      <c r="N158" s="416">
        <f t="shared" si="65"/>
        <v>0</v>
      </c>
      <c r="P158" s="422"/>
    </row>
    <row r="159" spans="3:16" s="147" customFormat="1">
      <c r="C159" s="155" t="str">
        <f>C$42</f>
        <v>Driver 3</v>
      </c>
      <c r="E159" s="416">
        <f t="shared" ref="E159:N159" si="66">IF($D$21=1,0,(E148-$P148)*$P44*$Y43)</f>
        <v>0</v>
      </c>
      <c r="F159" s="416">
        <f t="shared" si="66"/>
        <v>0</v>
      </c>
      <c r="G159" s="416">
        <f t="shared" si="66"/>
        <v>0</v>
      </c>
      <c r="H159" s="416">
        <f t="shared" si="66"/>
        <v>0</v>
      </c>
      <c r="I159" s="416">
        <f t="shared" si="66"/>
        <v>0</v>
      </c>
      <c r="J159" s="416">
        <f t="shared" si="66"/>
        <v>0</v>
      </c>
      <c r="K159" s="416">
        <f t="shared" si="66"/>
        <v>0</v>
      </c>
      <c r="L159" s="416">
        <f t="shared" si="66"/>
        <v>0</v>
      </c>
      <c r="M159" s="416">
        <f t="shared" si="66"/>
        <v>0</v>
      </c>
      <c r="N159" s="416">
        <f t="shared" si="66"/>
        <v>0</v>
      </c>
    </row>
    <row r="160" spans="3:16" s="147" customFormat="1">
      <c r="C160" s="155" t="str">
        <f>C$47</f>
        <v xml:space="preserve">Driver 4 </v>
      </c>
      <c r="E160" s="416">
        <f t="shared" ref="E160:N160" si="67">IF($D$21=1,0,(E149-$P149)*$P49*$Y48)</f>
        <v>0</v>
      </c>
      <c r="F160" s="416">
        <f t="shared" si="67"/>
        <v>0</v>
      </c>
      <c r="G160" s="416">
        <f t="shared" si="67"/>
        <v>0</v>
      </c>
      <c r="H160" s="416">
        <f t="shared" si="67"/>
        <v>0</v>
      </c>
      <c r="I160" s="416">
        <f t="shared" si="67"/>
        <v>0</v>
      </c>
      <c r="J160" s="416">
        <f t="shared" si="67"/>
        <v>0</v>
      </c>
      <c r="K160" s="416">
        <f t="shared" si="67"/>
        <v>0</v>
      </c>
      <c r="L160" s="416">
        <f t="shared" si="67"/>
        <v>0</v>
      </c>
      <c r="M160" s="416">
        <f t="shared" si="67"/>
        <v>0</v>
      </c>
      <c r="N160" s="416">
        <f t="shared" si="67"/>
        <v>0</v>
      </c>
    </row>
    <row r="161" spans="1:16" s="147" customFormat="1">
      <c r="C161" s="155" t="str">
        <f>C$52</f>
        <v xml:space="preserve">Driver 5 </v>
      </c>
      <c r="E161" s="416">
        <f t="shared" ref="E161:N161" si="68">IF($D$21=1,0,(E150-$P150)*$P54*$Y53)</f>
        <v>0</v>
      </c>
      <c r="F161" s="416">
        <f t="shared" si="68"/>
        <v>0</v>
      </c>
      <c r="G161" s="416">
        <f t="shared" si="68"/>
        <v>0</v>
      </c>
      <c r="H161" s="416">
        <f t="shared" si="68"/>
        <v>0</v>
      </c>
      <c r="I161" s="416">
        <f t="shared" si="68"/>
        <v>0</v>
      </c>
      <c r="J161" s="416">
        <f t="shared" si="68"/>
        <v>0</v>
      </c>
      <c r="K161" s="416">
        <f t="shared" si="68"/>
        <v>0</v>
      </c>
      <c r="L161" s="416">
        <f t="shared" si="68"/>
        <v>0</v>
      </c>
      <c r="M161" s="416">
        <f t="shared" si="68"/>
        <v>0</v>
      </c>
      <c r="N161" s="416">
        <f t="shared" si="68"/>
        <v>0</v>
      </c>
    </row>
    <row r="162" spans="1:16" s="147" customFormat="1">
      <c r="C162" s="155" t="str">
        <f>C$57</f>
        <v xml:space="preserve">Driver 6 </v>
      </c>
      <c r="E162" s="416">
        <f t="shared" ref="E162:N162" si="69">IF($D$21=1,0,(E151-$P151)*$P59*$Y58)</f>
        <v>0</v>
      </c>
      <c r="F162" s="416">
        <f t="shared" si="69"/>
        <v>0</v>
      </c>
      <c r="G162" s="416">
        <f t="shared" si="69"/>
        <v>0</v>
      </c>
      <c r="H162" s="416">
        <f t="shared" si="69"/>
        <v>0</v>
      </c>
      <c r="I162" s="416">
        <f t="shared" si="69"/>
        <v>0</v>
      </c>
      <c r="J162" s="416">
        <f t="shared" si="69"/>
        <v>0</v>
      </c>
      <c r="K162" s="416">
        <f t="shared" si="69"/>
        <v>0</v>
      </c>
      <c r="L162" s="416">
        <f t="shared" si="69"/>
        <v>0</v>
      </c>
      <c r="M162" s="416">
        <f t="shared" si="69"/>
        <v>0</v>
      </c>
      <c r="N162" s="416">
        <f t="shared" si="69"/>
        <v>0</v>
      </c>
    </row>
    <row r="163" spans="1:16" s="147" customFormat="1">
      <c r="C163" s="155" t="str">
        <f>C$62</f>
        <v xml:space="preserve">Driver 7 </v>
      </c>
      <c r="E163" s="416">
        <f t="shared" ref="E163:N163" si="70">IF($D$21=1,0,(E152-$P152)*$P64*$Y63)</f>
        <v>0</v>
      </c>
      <c r="F163" s="416">
        <f t="shared" si="70"/>
        <v>0</v>
      </c>
      <c r="G163" s="416">
        <f t="shared" si="70"/>
        <v>0</v>
      </c>
      <c r="H163" s="416">
        <f t="shared" si="70"/>
        <v>0</v>
      </c>
      <c r="I163" s="416">
        <f t="shared" si="70"/>
        <v>0</v>
      </c>
      <c r="J163" s="416">
        <f t="shared" si="70"/>
        <v>0</v>
      </c>
      <c r="K163" s="416">
        <f t="shared" si="70"/>
        <v>0</v>
      </c>
      <c r="L163" s="416">
        <f t="shared" si="70"/>
        <v>0</v>
      </c>
      <c r="M163" s="416">
        <f t="shared" si="70"/>
        <v>0</v>
      </c>
      <c r="N163" s="416">
        <f t="shared" si="70"/>
        <v>0</v>
      </c>
    </row>
    <row r="164" spans="1:16" s="147" customFormat="1">
      <c r="C164" s="155" t="str">
        <f>C$67</f>
        <v xml:space="preserve">Driver 8 </v>
      </c>
      <c r="E164" s="416">
        <f t="shared" ref="E164:N164" si="71">IF($D$21=1,0,(E153-$P153)*$P69*$Y68)</f>
        <v>0</v>
      </c>
      <c r="F164" s="416">
        <f t="shared" si="71"/>
        <v>0</v>
      </c>
      <c r="G164" s="416">
        <f t="shared" si="71"/>
        <v>0</v>
      </c>
      <c r="H164" s="416">
        <f t="shared" si="71"/>
        <v>0</v>
      </c>
      <c r="I164" s="416">
        <f t="shared" si="71"/>
        <v>0</v>
      </c>
      <c r="J164" s="416">
        <f t="shared" si="71"/>
        <v>0</v>
      </c>
      <c r="K164" s="416">
        <f t="shared" si="71"/>
        <v>0</v>
      </c>
      <c r="L164" s="416">
        <f t="shared" si="71"/>
        <v>0</v>
      </c>
      <c r="M164" s="416">
        <f t="shared" si="71"/>
        <v>0</v>
      </c>
      <c r="N164" s="416">
        <f t="shared" si="71"/>
        <v>0</v>
      </c>
    </row>
    <row r="165" spans="1:16" s="147" customFormat="1">
      <c r="C165" s="155" t="str">
        <f>C$72</f>
        <v xml:space="preserve">Driver 9 </v>
      </c>
      <c r="E165" s="416">
        <f t="shared" ref="E165:N165" si="72">IF($D$21=1,0,(E154-$P154)*$P74*$Y73)</f>
        <v>0</v>
      </c>
      <c r="F165" s="416">
        <f t="shared" si="72"/>
        <v>0</v>
      </c>
      <c r="G165" s="416">
        <f t="shared" si="72"/>
        <v>0</v>
      </c>
      <c r="H165" s="416">
        <f t="shared" si="72"/>
        <v>0</v>
      </c>
      <c r="I165" s="416">
        <f t="shared" si="72"/>
        <v>0</v>
      </c>
      <c r="J165" s="416">
        <f t="shared" si="72"/>
        <v>0</v>
      </c>
      <c r="K165" s="416">
        <f t="shared" si="72"/>
        <v>0</v>
      </c>
      <c r="L165" s="416">
        <f t="shared" si="72"/>
        <v>0</v>
      </c>
      <c r="M165" s="416">
        <f t="shared" si="72"/>
        <v>0</v>
      </c>
      <c r="N165" s="416">
        <f t="shared" si="72"/>
        <v>0</v>
      </c>
    </row>
    <row r="166" spans="1:16" s="147" customFormat="1">
      <c r="C166" s="155" t="str">
        <f>C$77</f>
        <v xml:space="preserve">Driver 10 </v>
      </c>
      <c r="E166" s="416">
        <f t="shared" ref="E166:N166" si="73">IF($D$21=1,0,(E155-$P155)*$P79*$Y78)</f>
        <v>0</v>
      </c>
      <c r="F166" s="416">
        <f t="shared" si="73"/>
        <v>0</v>
      </c>
      <c r="G166" s="416">
        <f t="shared" si="73"/>
        <v>0</v>
      </c>
      <c r="H166" s="416">
        <f t="shared" si="73"/>
        <v>0</v>
      </c>
      <c r="I166" s="416">
        <f t="shared" si="73"/>
        <v>0</v>
      </c>
      <c r="J166" s="416">
        <f t="shared" si="73"/>
        <v>0</v>
      </c>
      <c r="K166" s="416">
        <f t="shared" si="73"/>
        <v>0</v>
      </c>
      <c r="L166" s="416">
        <f t="shared" si="73"/>
        <v>0</v>
      </c>
      <c r="M166" s="416">
        <f t="shared" si="73"/>
        <v>0</v>
      </c>
      <c r="N166" s="416">
        <f t="shared" si="73"/>
        <v>0</v>
      </c>
    </row>
    <row r="167" spans="1:16" s="147" customFormat="1">
      <c r="P167" s="154"/>
    </row>
    <row r="168" spans="1:16" s="149" customFormat="1">
      <c r="A168" s="148"/>
      <c r="C168" s="149" t="s">
        <v>932</v>
      </c>
      <c r="E168" s="150"/>
      <c r="F168" s="150"/>
      <c r="G168" s="150"/>
      <c r="H168" s="150"/>
      <c r="I168" s="150"/>
      <c r="J168" s="150"/>
      <c r="K168" s="150"/>
      <c r="L168" s="150"/>
      <c r="M168" s="150"/>
      <c r="N168" s="150"/>
    </row>
    <row r="170" spans="1:16" s="147" customFormat="1">
      <c r="C170" s="155" t="str">
        <f>C$32&amp;" - Increase"</f>
        <v>Internal Readiness - Increase</v>
      </c>
      <c r="D170" s="421"/>
      <c r="E170" s="416">
        <f t="shared" ref="E170:N170" si="74">IF($D$21=1,0,IF(E34&gt;E32,_xlfn.NORM.DIST(E34,AVERAGE($E34:$N34),IF(_xlfn.STDEV.P($E34:$N34)=0,1,_xlfn.STDEV.P($E34:$N34))*$AE33,TRUE)*$AD33,0))*($P34)</f>
        <v>0</v>
      </c>
      <c r="F170" s="416">
        <f t="shared" si="74"/>
        <v>0</v>
      </c>
      <c r="G170" s="416">
        <f t="shared" si="74"/>
        <v>0</v>
      </c>
      <c r="H170" s="416">
        <f t="shared" si="74"/>
        <v>0</v>
      </c>
      <c r="I170" s="416">
        <f t="shared" si="74"/>
        <v>0</v>
      </c>
      <c r="J170" s="416">
        <f t="shared" si="74"/>
        <v>0</v>
      </c>
      <c r="K170" s="416">
        <f t="shared" si="74"/>
        <v>0</v>
      </c>
      <c r="L170" s="416">
        <f t="shared" si="74"/>
        <v>0</v>
      </c>
      <c r="M170" s="416">
        <f t="shared" si="74"/>
        <v>0</v>
      </c>
      <c r="N170" s="416">
        <f t="shared" si="74"/>
        <v>0</v>
      </c>
    </row>
    <row r="171" spans="1:16" s="147" customFormat="1">
      <c r="C171" s="419" t="str">
        <f>C$32&amp;" - Decrease"</f>
        <v>Internal Readiness - Decrease</v>
      </c>
      <c r="D171" s="420"/>
      <c r="E171" s="417">
        <f t="shared" ref="E171:N171" si="75">IF($D$21=1,0,IF(E32&gt;E34,1/_xlfn.NORM.DIST(E34,AVERAGE($E34:$N34),IF(_xlfn.STDEV.P($E34:$N34)=0,1,_xlfn.STDEV.P($E34:$N34))*$AE34,TRUE)*$AD34,0))*($P34)</f>
        <v>0</v>
      </c>
      <c r="F171" s="417">
        <f t="shared" si="75"/>
        <v>0</v>
      </c>
      <c r="G171" s="417">
        <f t="shared" si="75"/>
        <v>0</v>
      </c>
      <c r="H171" s="417">
        <f t="shared" si="75"/>
        <v>0</v>
      </c>
      <c r="I171" s="417">
        <f t="shared" si="75"/>
        <v>0</v>
      </c>
      <c r="J171" s="417">
        <f t="shared" si="75"/>
        <v>0</v>
      </c>
      <c r="K171" s="417">
        <f t="shared" si="75"/>
        <v>0</v>
      </c>
      <c r="L171" s="417">
        <f t="shared" si="75"/>
        <v>0</v>
      </c>
      <c r="M171" s="417">
        <f t="shared" si="75"/>
        <v>0</v>
      </c>
      <c r="N171" s="417">
        <f t="shared" si="75"/>
        <v>0</v>
      </c>
    </row>
    <row r="172" spans="1:16" s="147" customFormat="1">
      <c r="C172" s="155" t="str">
        <f>C$37&amp;" - Increase"</f>
        <v>Collaboration - Increase</v>
      </c>
      <c r="E172" s="416">
        <f t="shared" ref="E172:N172" si="76">IF($D$21=1,0,IF(E39&gt;E37,_xlfn.NORM.DIST(E39,AVERAGE($E39:$N39),IF(_xlfn.STDEV.P($E39:$N39)=0,1,_xlfn.STDEV.P($E39:$N39))*$AE38,TRUE)*$AD38,0))*($P$39)</f>
        <v>0</v>
      </c>
      <c r="F172" s="416">
        <f t="shared" si="76"/>
        <v>0</v>
      </c>
      <c r="G172" s="416">
        <f t="shared" si="76"/>
        <v>0</v>
      </c>
      <c r="H172" s="416">
        <f t="shared" si="76"/>
        <v>0</v>
      </c>
      <c r="I172" s="416">
        <f t="shared" si="76"/>
        <v>0</v>
      </c>
      <c r="J172" s="416">
        <f t="shared" si="76"/>
        <v>0</v>
      </c>
      <c r="K172" s="416">
        <f t="shared" si="76"/>
        <v>0</v>
      </c>
      <c r="L172" s="416">
        <f t="shared" si="76"/>
        <v>0</v>
      </c>
      <c r="M172" s="416">
        <f t="shared" si="76"/>
        <v>0</v>
      </c>
      <c r="N172" s="416">
        <f t="shared" si="76"/>
        <v>0</v>
      </c>
    </row>
    <row r="173" spans="1:16" s="147" customFormat="1">
      <c r="C173" s="419" t="str">
        <f>C$37&amp;" - Decrease"</f>
        <v>Collaboration - Decrease</v>
      </c>
      <c r="D173" s="418"/>
      <c r="E173" s="417">
        <f t="shared" ref="E173:N173" si="77">IF($D$21=1,0,IF(E37&gt;E39,1/_xlfn.NORM.DIST(E39,AVERAGE($E39:$N39),IF(_xlfn.STDEV.P($E39:$N39)=0,1,_xlfn.STDEV.P($E39:$N39))*$AE39,TRUE)*$AD39,0))*($P$39)</f>
        <v>0</v>
      </c>
      <c r="F173" s="417">
        <f t="shared" si="77"/>
        <v>0</v>
      </c>
      <c r="G173" s="417">
        <f t="shared" si="77"/>
        <v>0</v>
      </c>
      <c r="H173" s="417">
        <f t="shared" si="77"/>
        <v>0</v>
      </c>
      <c r="I173" s="417">
        <f t="shared" si="77"/>
        <v>0</v>
      </c>
      <c r="J173" s="417">
        <f t="shared" si="77"/>
        <v>0</v>
      </c>
      <c r="K173" s="417">
        <f t="shared" si="77"/>
        <v>0</v>
      </c>
      <c r="L173" s="417">
        <f t="shared" si="77"/>
        <v>0</v>
      </c>
      <c r="M173" s="417">
        <f t="shared" si="77"/>
        <v>0</v>
      </c>
      <c r="N173" s="417">
        <f t="shared" si="77"/>
        <v>0</v>
      </c>
    </row>
    <row r="174" spans="1:16" s="147" customFormat="1">
      <c r="C174" s="155" t="str">
        <f>C$42&amp;" - Increase"</f>
        <v>Driver 3 - Increase</v>
      </c>
      <c r="E174" s="416">
        <f t="shared" ref="E174:N174" si="78">IF($D$21=1,0,IF(E44&gt;E42,_xlfn.NORM.DIST(E44,AVERAGE($E44:$N44),IF(_xlfn.STDEV.P($E44:$N44)=0,1,_xlfn.STDEV.P($E44:$N44))*$AE43,TRUE)*$AD43,0))*($P44)</f>
        <v>0</v>
      </c>
      <c r="F174" s="416">
        <f t="shared" si="78"/>
        <v>0</v>
      </c>
      <c r="G174" s="416">
        <f t="shared" si="78"/>
        <v>0</v>
      </c>
      <c r="H174" s="416">
        <f t="shared" si="78"/>
        <v>0</v>
      </c>
      <c r="I174" s="416">
        <f t="shared" si="78"/>
        <v>0</v>
      </c>
      <c r="J174" s="416">
        <f t="shared" si="78"/>
        <v>0</v>
      </c>
      <c r="K174" s="416">
        <f t="shared" si="78"/>
        <v>0</v>
      </c>
      <c r="L174" s="416">
        <f t="shared" si="78"/>
        <v>0</v>
      </c>
      <c r="M174" s="416">
        <f t="shared" si="78"/>
        <v>0</v>
      </c>
      <c r="N174" s="416">
        <f t="shared" si="78"/>
        <v>0</v>
      </c>
    </row>
    <row r="175" spans="1:16" s="147" customFormat="1">
      <c r="C175" s="419" t="str">
        <f>C$42&amp;" - Decrease"</f>
        <v>Driver 3 - Decrease</v>
      </c>
      <c r="D175" s="418"/>
      <c r="E175" s="417">
        <f t="shared" ref="E175:N175" si="79">IF($D$21=1,0,IF(E42&gt;E44,1/_xlfn.NORM.DIST(E44,AVERAGE($E44:$N44),IF(_xlfn.STDEV.P($E44:$N44)=0,1,_xlfn.STDEV.P($E44:$N44))*$AE44,TRUE)*$AD44,0))*($P44)</f>
        <v>0</v>
      </c>
      <c r="F175" s="417">
        <f t="shared" si="79"/>
        <v>0</v>
      </c>
      <c r="G175" s="417">
        <f t="shared" si="79"/>
        <v>0</v>
      </c>
      <c r="H175" s="417">
        <f t="shared" si="79"/>
        <v>0</v>
      </c>
      <c r="I175" s="417">
        <f t="shared" si="79"/>
        <v>0</v>
      </c>
      <c r="J175" s="417">
        <f t="shared" si="79"/>
        <v>0</v>
      </c>
      <c r="K175" s="417">
        <f t="shared" si="79"/>
        <v>0</v>
      </c>
      <c r="L175" s="417">
        <f t="shared" si="79"/>
        <v>0</v>
      </c>
      <c r="M175" s="417">
        <f t="shared" si="79"/>
        <v>0</v>
      </c>
      <c r="N175" s="417">
        <f t="shared" si="79"/>
        <v>0</v>
      </c>
    </row>
    <row r="176" spans="1:16" s="147" customFormat="1">
      <c r="C176" s="155" t="str">
        <f>C$47&amp;" - Increase"</f>
        <v>Driver 4  - Increase</v>
      </c>
      <c r="E176" s="416">
        <f t="shared" ref="E176:N176" si="80">IF($D$21=1,0,IF(E49&gt;E47,_xlfn.NORM.DIST(E49,AVERAGE($E49:$N49),IF(_xlfn.STDEV.P($E49:$N49)=0,1,_xlfn.STDEV.P($E49:$N49))*$AE48,TRUE)*$AD48,0))*($P49)</f>
        <v>0</v>
      </c>
      <c r="F176" s="416">
        <f t="shared" si="80"/>
        <v>0</v>
      </c>
      <c r="G176" s="416">
        <f t="shared" si="80"/>
        <v>0</v>
      </c>
      <c r="H176" s="416">
        <f t="shared" si="80"/>
        <v>0</v>
      </c>
      <c r="I176" s="416">
        <f t="shared" si="80"/>
        <v>0</v>
      </c>
      <c r="J176" s="416">
        <f t="shared" si="80"/>
        <v>0</v>
      </c>
      <c r="K176" s="416">
        <f t="shared" si="80"/>
        <v>0</v>
      </c>
      <c r="L176" s="416">
        <f t="shared" si="80"/>
        <v>0</v>
      </c>
      <c r="M176" s="416">
        <f t="shared" si="80"/>
        <v>0</v>
      </c>
      <c r="N176" s="416">
        <f t="shared" si="80"/>
        <v>0</v>
      </c>
    </row>
    <row r="177" spans="3:14" s="147" customFormat="1">
      <c r="C177" s="419" t="str">
        <f>C$47&amp;" - Decrease"</f>
        <v>Driver 4  - Decrease</v>
      </c>
      <c r="D177" s="418"/>
      <c r="E177" s="417">
        <f t="shared" ref="E177:N177" si="81">IF($D$21=1,0,IF(E47&gt;E49,1/_xlfn.NORM.DIST(E49,AVERAGE($E49:$N49),IF(_xlfn.STDEV.P($E49:$N49)=0,1,_xlfn.STDEV.P($E49:$N49))*$AE49,TRUE)*$AD49,0))*($P49)</f>
        <v>0</v>
      </c>
      <c r="F177" s="417">
        <f t="shared" si="81"/>
        <v>0</v>
      </c>
      <c r="G177" s="417">
        <f t="shared" si="81"/>
        <v>0</v>
      </c>
      <c r="H177" s="417">
        <f t="shared" si="81"/>
        <v>0</v>
      </c>
      <c r="I177" s="417">
        <f t="shared" si="81"/>
        <v>0</v>
      </c>
      <c r="J177" s="417">
        <f t="shared" si="81"/>
        <v>0</v>
      </c>
      <c r="K177" s="417">
        <f t="shared" si="81"/>
        <v>0</v>
      </c>
      <c r="L177" s="417">
        <f t="shared" si="81"/>
        <v>0</v>
      </c>
      <c r="M177" s="417">
        <f t="shared" si="81"/>
        <v>0</v>
      </c>
      <c r="N177" s="417">
        <f t="shared" si="81"/>
        <v>0</v>
      </c>
    </row>
    <row r="178" spans="3:14" s="147" customFormat="1">
      <c r="C178" s="155" t="str">
        <f>C$52&amp;" - Increase"</f>
        <v>Driver 5  - Increase</v>
      </c>
      <c r="E178" s="416">
        <f t="shared" ref="E178:N178" si="82">IF($D$21=1,0,IF(E54&gt;E52,_xlfn.NORM.DIST(E54,AVERAGE($E54:$N54),IF(_xlfn.STDEV.P($E54:$N54)=0,1,_xlfn.STDEV.P($E54:$N54))*$AE53,TRUE)*$AD53,0))*($P54)</f>
        <v>0</v>
      </c>
      <c r="F178" s="416">
        <f t="shared" si="82"/>
        <v>0</v>
      </c>
      <c r="G178" s="416">
        <f t="shared" si="82"/>
        <v>0</v>
      </c>
      <c r="H178" s="416">
        <f t="shared" si="82"/>
        <v>0</v>
      </c>
      <c r="I178" s="416">
        <f t="shared" si="82"/>
        <v>0</v>
      </c>
      <c r="J178" s="416">
        <f t="shared" si="82"/>
        <v>0</v>
      </c>
      <c r="K178" s="416">
        <f t="shared" si="82"/>
        <v>0</v>
      </c>
      <c r="L178" s="416">
        <f t="shared" si="82"/>
        <v>0</v>
      </c>
      <c r="M178" s="416">
        <f t="shared" si="82"/>
        <v>0</v>
      </c>
      <c r="N178" s="416">
        <f t="shared" si="82"/>
        <v>0</v>
      </c>
    </row>
    <row r="179" spans="3:14" s="147" customFormat="1">
      <c r="C179" s="419" t="str">
        <f>C$52&amp;" - Decrease"</f>
        <v>Driver 5  - Decrease</v>
      </c>
      <c r="D179" s="418"/>
      <c r="E179" s="417">
        <f t="shared" ref="E179:N179" si="83">IF($D$21=1,0,IF(E52&gt;E54,1/_xlfn.NORM.DIST(E54,AVERAGE($E54:$N54),IF(_xlfn.STDEV.P($E54:$N54)=0,1,_xlfn.STDEV.P($E54:$N54))*$AE54,TRUE)*$AD54,0))*($P54)</f>
        <v>0</v>
      </c>
      <c r="F179" s="417">
        <f t="shared" si="83"/>
        <v>0</v>
      </c>
      <c r="G179" s="417">
        <f t="shared" si="83"/>
        <v>0</v>
      </c>
      <c r="H179" s="417">
        <f t="shared" si="83"/>
        <v>0</v>
      </c>
      <c r="I179" s="417">
        <f t="shared" si="83"/>
        <v>0</v>
      </c>
      <c r="J179" s="417">
        <f t="shared" si="83"/>
        <v>0</v>
      </c>
      <c r="K179" s="417">
        <f t="shared" si="83"/>
        <v>0</v>
      </c>
      <c r="L179" s="417">
        <f t="shared" si="83"/>
        <v>0</v>
      </c>
      <c r="M179" s="417">
        <f t="shared" si="83"/>
        <v>0</v>
      </c>
      <c r="N179" s="417">
        <f t="shared" si="83"/>
        <v>0</v>
      </c>
    </row>
    <row r="180" spans="3:14" s="147" customFormat="1">
      <c r="C180" s="155" t="str">
        <f>C$57&amp;" - Increase"</f>
        <v>Driver 6  - Increase</v>
      </c>
      <c r="E180" s="416">
        <f t="shared" ref="E180:N180" si="84">IF($D$21=1,0,IF(E59&gt;E57,_xlfn.NORM.DIST(E59,AVERAGE($E59:$N59),IF(_xlfn.STDEV.P($E59:$N59)=0,1,_xlfn.STDEV.P($E59:$N59))*$AE58,TRUE)*$AD58,0))*($P59)</f>
        <v>0</v>
      </c>
      <c r="F180" s="416">
        <f t="shared" si="84"/>
        <v>0</v>
      </c>
      <c r="G180" s="416">
        <f t="shared" si="84"/>
        <v>0</v>
      </c>
      <c r="H180" s="416">
        <f t="shared" si="84"/>
        <v>0</v>
      </c>
      <c r="I180" s="416">
        <f t="shared" si="84"/>
        <v>0</v>
      </c>
      <c r="J180" s="416">
        <f t="shared" si="84"/>
        <v>0</v>
      </c>
      <c r="K180" s="416">
        <f t="shared" si="84"/>
        <v>0</v>
      </c>
      <c r="L180" s="416">
        <f t="shared" si="84"/>
        <v>0</v>
      </c>
      <c r="M180" s="416">
        <f t="shared" si="84"/>
        <v>0</v>
      </c>
      <c r="N180" s="416">
        <f t="shared" si="84"/>
        <v>0</v>
      </c>
    </row>
    <row r="181" spans="3:14" s="147" customFormat="1">
      <c r="C181" s="419" t="str">
        <f>C$57&amp;" - Decrease"</f>
        <v>Driver 6  - Decrease</v>
      </c>
      <c r="D181" s="418"/>
      <c r="E181" s="417">
        <f t="shared" ref="E181:N181" si="85">IF($D$21=1,0,IF(E57&gt;E59,1/_xlfn.NORM.DIST(E59,AVERAGE($E59:$N59),IF(_xlfn.STDEV.P($E59:$N59)=0,1,_xlfn.STDEV.P($E59:$N59))*$AE59,TRUE)*$AD59,0))*($P59)</f>
        <v>0</v>
      </c>
      <c r="F181" s="417">
        <f t="shared" si="85"/>
        <v>0</v>
      </c>
      <c r="G181" s="417">
        <f t="shared" si="85"/>
        <v>0</v>
      </c>
      <c r="H181" s="417">
        <f t="shared" si="85"/>
        <v>0</v>
      </c>
      <c r="I181" s="417">
        <f t="shared" si="85"/>
        <v>0</v>
      </c>
      <c r="J181" s="417">
        <f t="shared" si="85"/>
        <v>0</v>
      </c>
      <c r="K181" s="417">
        <f t="shared" si="85"/>
        <v>0</v>
      </c>
      <c r="L181" s="417">
        <f t="shared" si="85"/>
        <v>0</v>
      </c>
      <c r="M181" s="417">
        <f t="shared" si="85"/>
        <v>0</v>
      </c>
      <c r="N181" s="417">
        <f t="shared" si="85"/>
        <v>0</v>
      </c>
    </row>
    <row r="182" spans="3:14" s="147" customFormat="1">
      <c r="C182" s="155" t="str">
        <f>C$62&amp;" - Increase"</f>
        <v>Driver 7  - Increase</v>
      </c>
      <c r="E182" s="416">
        <f t="shared" ref="E182:N182" si="86">IF($D$21=1,0,IF(E64&gt;E62,_xlfn.NORM.DIST(E64,AVERAGE($E64:$N64),IF(_xlfn.STDEV.P($E64:$N64)=0,1,_xlfn.STDEV.P($E64:$N64))*$AE63,TRUE)*$AD63,0))*($P64)</f>
        <v>0</v>
      </c>
      <c r="F182" s="416">
        <f t="shared" si="86"/>
        <v>0</v>
      </c>
      <c r="G182" s="416">
        <f t="shared" si="86"/>
        <v>0</v>
      </c>
      <c r="H182" s="416">
        <f t="shared" si="86"/>
        <v>0</v>
      </c>
      <c r="I182" s="416">
        <f t="shared" si="86"/>
        <v>0</v>
      </c>
      <c r="J182" s="416">
        <f t="shared" si="86"/>
        <v>0</v>
      </c>
      <c r="K182" s="416">
        <f t="shared" si="86"/>
        <v>0</v>
      </c>
      <c r="L182" s="416">
        <f t="shared" si="86"/>
        <v>0</v>
      </c>
      <c r="M182" s="416">
        <f t="shared" si="86"/>
        <v>0</v>
      </c>
      <c r="N182" s="416">
        <f t="shared" si="86"/>
        <v>0</v>
      </c>
    </row>
    <row r="183" spans="3:14" s="147" customFormat="1">
      <c r="C183" s="419" t="str">
        <f>C$62&amp;" - Decrease"</f>
        <v>Driver 7  - Decrease</v>
      </c>
      <c r="D183" s="418"/>
      <c r="E183" s="417">
        <f t="shared" ref="E183:N183" si="87">IF($D$21=1,0,IF(E62&gt;E64,1/_xlfn.NORM.DIST(E64,AVERAGE($E64:$N64),IF(_xlfn.STDEV.P($E64:$N64)=0,1,_xlfn.STDEV.P($E64:$N64))*$AE64,TRUE)*$AD64,0))*($P64)</f>
        <v>0</v>
      </c>
      <c r="F183" s="417">
        <f t="shared" si="87"/>
        <v>0</v>
      </c>
      <c r="G183" s="417">
        <f t="shared" si="87"/>
        <v>0</v>
      </c>
      <c r="H183" s="417">
        <f t="shared" si="87"/>
        <v>0</v>
      </c>
      <c r="I183" s="417">
        <f t="shared" si="87"/>
        <v>0</v>
      </c>
      <c r="J183" s="417">
        <f t="shared" si="87"/>
        <v>0</v>
      </c>
      <c r="K183" s="417">
        <f t="shared" si="87"/>
        <v>0</v>
      </c>
      <c r="L183" s="417">
        <f t="shared" si="87"/>
        <v>0</v>
      </c>
      <c r="M183" s="417">
        <f t="shared" si="87"/>
        <v>0</v>
      </c>
      <c r="N183" s="417">
        <f t="shared" si="87"/>
        <v>0</v>
      </c>
    </row>
    <row r="184" spans="3:14" s="147" customFormat="1">
      <c r="C184" s="155" t="str">
        <f>C$67&amp;" - Increase"</f>
        <v>Driver 8  - Increase</v>
      </c>
      <c r="E184" s="416">
        <f t="shared" ref="E184:N184" si="88">IF($D$21=1,0,IF(E69&gt;E67,_xlfn.NORM.DIST(E69,AVERAGE($E69:$N69),IF(_xlfn.STDEV.P($E69:$N69)=0,1,_xlfn.STDEV.P($E69:$N69))*$AE68,TRUE)*$AD68,0))*($P69)</f>
        <v>0</v>
      </c>
      <c r="F184" s="416">
        <f t="shared" si="88"/>
        <v>0</v>
      </c>
      <c r="G184" s="416">
        <f t="shared" si="88"/>
        <v>0</v>
      </c>
      <c r="H184" s="416">
        <f t="shared" si="88"/>
        <v>0</v>
      </c>
      <c r="I184" s="416">
        <f t="shared" si="88"/>
        <v>0</v>
      </c>
      <c r="J184" s="416">
        <f t="shared" si="88"/>
        <v>0</v>
      </c>
      <c r="K184" s="416">
        <f t="shared" si="88"/>
        <v>0</v>
      </c>
      <c r="L184" s="416">
        <f t="shared" si="88"/>
        <v>0</v>
      </c>
      <c r="M184" s="416">
        <f t="shared" si="88"/>
        <v>0</v>
      </c>
      <c r="N184" s="416">
        <f t="shared" si="88"/>
        <v>0</v>
      </c>
    </row>
    <row r="185" spans="3:14" s="147" customFormat="1">
      <c r="C185" s="419" t="str">
        <f>C$67&amp;" - Decrease"</f>
        <v>Driver 8  - Decrease</v>
      </c>
      <c r="D185" s="418"/>
      <c r="E185" s="417">
        <f t="shared" ref="E185:N185" si="89">IF($D$21=1,0,IF(E67&gt;E69,1/_xlfn.NORM.DIST(E69,AVERAGE($E69:$N69),IF(_xlfn.STDEV.P($E69:$N69)=0,1,_xlfn.STDEV.P($E69:$N69))*$AE69,TRUE)*$AD69,0))*($P69)</f>
        <v>0</v>
      </c>
      <c r="F185" s="417">
        <f t="shared" si="89"/>
        <v>0</v>
      </c>
      <c r="G185" s="417">
        <f t="shared" si="89"/>
        <v>0</v>
      </c>
      <c r="H185" s="417">
        <f t="shared" si="89"/>
        <v>0</v>
      </c>
      <c r="I185" s="417">
        <f t="shared" si="89"/>
        <v>0</v>
      </c>
      <c r="J185" s="417">
        <f t="shared" si="89"/>
        <v>0</v>
      </c>
      <c r="K185" s="417">
        <f t="shared" si="89"/>
        <v>0</v>
      </c>
      <c r="L185" s="417">
        <f t="shared" si="89"/>
        <v>0</v>
      </c>
      <c r="M185" s="417">
        <f t="shared" si="89"/>
        <v>0</v>
      </c>
      <c r="N185" s="417">
        <f t="shared" si="89"/>
        <v>0</v>
      </c>
    </row>
    <row r="186" spans="3:14" s="147" customFormat="1">
      <c r="C186" s="155" t="str">
        <f>C$72&amp;" - Increase"</f>
        <v>Driver 9  - Increase</v>
      </c>
      <c r="E186" s="416">
        <f t="shared" ref="E186:N186" si="90">IF($D$21=1,0,IF(E74&gt;E72,_xlfn.NORM.DIST(E74,AVERAGE($E74:$N74),IF(_xlfn.STDEV.P($E74:$N74)=0,1,_xlfn.STDEV.P($E74:$N74))*$AE73,TRUE)*$AD73,0))*($P74)</f>
        <v>0</v>
      </c>
      <c r="F186" s="416">
        <f t="shared" si="90"/>
        <v>0</v>
      </c>
      <c r="G186" s="416">
        <f t="shared" si="90"/>
        <v>0</v>
      </c>
      <c r="H186" s="416">
        <f t="shared" si="90"/>
        <v>0</v>
      </c>
      <c r="I186" s="416">
        <f t="shared" si="90"/>
        <v>0</v>
      </c>
      <c r="J186" s="416">
        <f t="shared" si="90"/>
        <v>0</v>
      </c>
      <c r="K186" s="416">
        <f t="shared" si="90"/>
        <v>0</v>
      </c>
      <c r="L186" s="416">
        <f t="shared" si="90"/>
        <v>0</v>
      </c>
      <c r="M186" s="416">
        <f t="shared" si="90"/>
        <v>0</v>
      </c>
      <c r="N186" s="416">
        <f t="shared" si="90"/>
        <v>0</v>
      </c>
    </row>
    <row r="187" spans="3:14" s="147" customFormat="1">
      <c r="C187" s="419" t="str">
        <f>C$72&amp;" - Decrease"</f>
        <v>Driver 9  - Decrease</v>
      </c>
      <c r="D187" s="418"/>
      <c r="E187" s="417">
        <f t="shared" ref="E187:N187" si="91">IF($D$21=1,0,IF(E72&gt;E74,1/_xlfn.NORM.DIST(E74,AVERAGE($E74:$N74),IF(_xlfn.STDEV.P($E74:$N74)=0,1,_xlfn.STDEV.P($E74:$N74))*$AE74,TRUE)*$AD74,0))*($P74)</f>
        <v>0</v>
      </c>
      <c r="F187" s="417">
        <f t="shared" si="91"/>
        <v>0</v>
      </c>
      <c r="G187" s="417">
        <f t="shared" si="91"/>
        <v>0</v>
      </c>
      <c r="H187" s="417">
        <f t="shared" si="91"/>
        <v>0</v>
      </c>
      <c r="I187" s="417">
        <f t="shared" si="91"/>
        <v>0</v>
      </c>
      <c r="J187" s="417">
        <f t="shared" si="91"/>
        <v>0</v>
      </c>
      <c r="K187" s="417">
        <f t="shared" si="91"/>
        <v>0</v>
      </c>
      <c r="L187" s="417">
        <f t="shared" si="91"/>
        <v>0</v>
      </c>
      <c r="M187" s="417">
        <f t="shared" si="91"/>
        <v>0</v>
      </c>
      <c r="N187" s="417">
        <f t="shared" si="91"/>
        <v>0</v>
      </c>
    </row>
    <row r="188" spans="3:14" s="147" customFormat="1">
      <c r="C188" s="155" t="str">
        <f>C$77&amp;" - Increase"</f>
        <v>Driver 10  - Increase</v>
      </c>
      <c r="E188" s="416">
        <f t="shared" ref="E188:N188" si="92">IF($D$21=1,0,IF(E79&gt;E77,_xlfn.NORM.DIST(E79,AVERAGE($E79:$N79),IF(_xlfn.STDEV.P($E79:$N79)=0,1,_xlfn.STDEV.P($E79:$N79))*$AE78,TRUE)*$AD78,0))*($P79)</f>
        <v>0</v>
      </c>
      <c r="F188" s="416">
        <f t="shared" si="92"/>
        <v>0</v>
      </c>
      <c r="G188" s="416">
        <f t="shared" si="92"/>
        <v>0</v>
      </c>
      <c r="H188" s="416">
        <f t="shared" si="92"/>
        <v>0</v>
      </c>
      <c r="I188" s="416">
        <f t="shared" si="92"/>
        <v>0</v>
      </c>
      <c r="J188" s="416">
        <f t="shared" si="92"/>
        <v>0</v>
      </c>
      <c r="K188" s="416">
        <f t="shared" si="92"/>
        <v>0</v>
      </c>
      <c r="L188" s="416">
        <f t="shared" si="92"/>
        <v>0</v>
      </c>
      <c r="M188" s="416">
        <f t="shared" si="92"/>
        <v>0</v>
      </c>
      <c r="N188" s="416">
        <f t="shared" si="92"/>
        <v>0</v>
      </c>
    </row>
    <row r="189" spans="3:14" s="147" customFormat="1">
      <c r="C189" s="155" t="str">
        <f>C$77&amp;" - Decrease"</f>
        <v>Driver 10  - Decrease</v>
      </c>
      <c r="E189" s="416">
        <f t="shared" ref="E189:N189" si="93">IF($D$21=1,0,IF(E77&gt;E79,1/_xlfn.NORM.DIST(E79,AVERAGE($E79:$N79),IF(_xlfn.STDEV.P($E79:$N79)=0,1,_xlfn.STDEV.P($E79:$N79))*$AE79,TRUE)*$AD79,0))*($P79)</f>
        <v>0</v>
      </c>
      <c r="F189" s="416">
        <f t="shared" si="93"/>
        <v>0</v>
      </c>
      <c r="G189" s="416">
        <f t="shared" si="93"/>
        <v>0</v>
      </c>
      <c r="H189" s="416">
        <f t="shared" si="93"/>
        <v>0</v>
      </c>
      <c r="I189" s="416">
        <f t="shared" si="93"/>
        <v>0</v>
      </c>
      <c r="J189" s="416">
        <f t="shared" si="93"/>
        <v>0</v>
      </c>
      <c r="K189" s="416">
        <f t="shared" si="93"/>
        <v>0</v>
      </c>
      <c r="L189" s="416">
        <f t="shared" si="93"/>
        <v>0</v>
      </c>
      <c r="M189" s="416">
        <f t="shared" si="93"/>
        <v>0</v>
      </c>
      <c r="N189" s="416">
        <f t="shared" si="93"/>
        <v>0</v>
      </c>
    </row>
  </sheetData>
  <mergeCells count="2">
    <mergeCell ref="E30:I30"/>
    <mergeCell ref="J30:N30"/>
  </mergeCells>
  <conditionalFormatting sqref="R33:S33 U33:W33 U38:W38 U43:W43 U48:W48 U53:W53 U58:W58 U63:W63 U68:W68 U73:W73 U78:W78">
    <cfRule type="expression" dxfId="608" priority="362">
      <formula>$P32&lt;&gt;"Absolute"</formula>
    </cfRule>
  </conditionalFormatting>
  <conditionalFormatting sqref="R32:S32 U32:W32 U37:W37 U42:W42 U47:W47 U52:W52 U57:W57 U62:W62 U67:W67 U72:W72 U77:W77">
    <cfRule type="expression" dxfId="607" priority="361">
      <formula>$P32&lt;&gt;"Absolute"</formula>
    </cfRule>
  </conditionalFormatting>
  <conditionalFormatting sqref="R38:S38">
    <cfRule type="expression" dxfId="606" priority="360">
      <formula>$P37&lt;&gt;"Absolute"</formula>
    </cfRule>
  </conditionalFormatting>
  <conditionalFormatting sqref="R37:S37">
    <cfRule type="expression" dxfId="605" priority="359">
      <formula>$P37&lt;&gt;"Absolute"</formula>
    </cfRule>
  </conditionalFormatting>
  <conditionalFormatting sqref="R43:S43">
    <cfRule type="expression" dxfId="604" priority="358">
      <formula>$P42&lt;&gt;"Absolute"</formula>
    </cfRule>
  </conditionalFormatting>
  <conditionalFormatting sqref="R42:S42">
    <cfRule type="expression" dxfId="603" priority="357">
      <formula>$P42&lt;&gt;"Absolute"</formula>
    </cfRule>
  </conditionalFormatting>
  <conditionalFormatting sqref="R48:S48">
    <cfRule type="expression" dxfId="602" priority="356">
      <formula>$P47&lt;&gt;"Absolute"</formula>
    </cfRule>
  </conditionalFormatting>
  <conditionalFormatting sqref="R47:S47">
    <cfRule type="expression" dxfId="601" priority="355">
      <formula>$P47&lt;&gt;"Absolute"</formula>
    </cfRule>
  </conditionalFormatting>
  <conditionalFormatting sqref="R53:S53">
    <cfRule type="expression" dxfId="600" priority="354">
      <formula>$P52&lt;&gt;"Absolute"</formula>
    </cfRule>
  </conditionalFormatting>
  <conditionalFormatting sqref="R52:S52">
    <cfRule type="expression" dxfId="599" priority="353">
      <formula>$P52&lt;&gt;"Absolute"</formula>
    </cfRule>
  </conditionalFormatting>
  <conditionalFormatting sqref="R58:S58">
    <cfRule type="expression" dxfId="598" priority="352">
      <formula>$P57&lt;&gt;"Absolute"</formula>
    </cfRule>
  </conditionalFormatting>
  <conditionalFormatting sqref="R57:S57">
    <cfRule type="expression" dxfId="597" priority="351">
      <formula>$P57&lt;&gt;"Absolute"</formula>
    </cfRule>
  </conditionalFormatting>
  <conditionalFormatting sqref="R63:S63">
    <cfRule type="expression" dxfId="596" priority="350">
      <formula>$P62&lt;&gt;"Absolute"</formula>
    </cfRule>
  </conditionalFormatting>
  <conditionalFormatting sqref="R62:S62">
    <cfRule type="expression" dxfId="595" priority="349">
      <formula>$P62&lt;&gt;"Absolute"</formula>
    </cfRule>
  </conditionalFormatting>
  <conditionalFormatting sqref="R68:S68">
    <cfRule type="expression" dxfId="594" priority="348">
      <formula>$P67&lt;&gt;"Absolute"</formula>
    </cfRule>
  </conditionalFormatting>
  <conditionalFormatting sqref="R67:S67">
    <cfRule type="expression" dxfId="593" priority="347">
      <formula>$P67&lt;&gt;"Absolute"</formula>
    </cfRule>
  </conditionalFormatting>
  <conditionalFormatting sqref="R73:S73">
    <cfRule type="expression" dxfId="592" priority="346">
      <formula>$P72&lt;&gt;"Absolute"</formula>
    </cfRule>
  </conditionalFormatting>
  <conditionalFormatting sqref="R72:S72">
    <cfRule type="expression" dxfId="591" priority="345">
      <formula>$P72&lt;&gt;"Absolute"</formula>
    </cfRule>
  </conditionalFormatting>
  <conditionalFormatting sqref="R78:S78">
    <cfRule type="expression" dxfId="590" priority="344">
      <formula>$P77&lt;&gt;"Absolute"</formula>
    </cfRule>
  </conditionalFormatting>
  <conditionalFormatting sqref="R77:S77">
    <cfRule type="expression" dxfId="589" priority="343">
      <formula>$P77&lt;&gt;"Absolute"</formula>
    </cfRule>
  </conditionalFormatting>
  <conditionalFormatting sqref="T33">
    <cfRule type="expression" dxfId="588" priority="342">
      <formula>$P32&lt;&gt;"Absolute"</formula>
    </cfRule>
  </conditionalFormatting>
  <conditionalFormatting sqref="T32">
    <cfRule type="expression" dxfId="587" priority="341">
      <formula>$P32&lt;&gt;"Absolute"</formula>
    </cfRule>
  </conditionalFormatting>
  <conditionalFormatting sqref="T42">
    <cfRule type="expression" dxfId="586" priority="339">
      <formula>$P42&lt;&gt;"Absolute"</formula>
    </cfRule>
  </conditionalFormatting>
  <conditionalFormatting sqref="T47">
    <cfRule type="expression" dxfId="585" priority="338">
      <formula>$P47&lt;&gt;"Absolute"</formula>
    </cfRule>
  </conditionalFormatting>
  <conditionalFormatting sqref="T52">
    <cfRule type="expression" dxfId="584" priority="337">
      <formula>$P52&lt;&gt;"Absolute"</formula>
    </cfRule>
  </conditionalFormatting>
  <conditionalFormatting sqref="T57">
    <cfRule type="expression" dxfId="583" priority="336">
      <formula>$P57&lt;&gt;"Absolute"</formula>
    </cfRule>
  </conditionalFormatting>
  <conditionalFormatting sqref="T62">
    <cfRule type="expression" dxfId="582" priority="335">
      <formula>$P62&lt;&gt;"Absolute"</formula>
    </cfRule>
  </conditionalFormatting>
  <conditionalFormatting sqref="T67">
    <cfRule type="expression" dxfId="581" priority="334">
      <formula>$P67&lt;&gt;"Absolute"</formula>
    </cfRule>
  </conditionalFormatting>
  <conditionalFormatting sqref="T72">
    <cfRule type="expression" dxfId="580" priority="333">
      <formula>$P72&lt;&gt;"Absolute"</formula>
    </cfRule>
  </conditionalFormatting>
  <conditionalFormatting sqref="T77">
    <cfRule type="expression" dxfId="579" priority="332">
      <formula>$P77&lt;&gt;"Absolute"</formula>
    </cfRule>
  </conditionalFormatting>
  <conditionalFormatting sqref="T37">
    <cfRule type="expression" dxfId="578" priority="340">
      <formula>$P37&lt;&gt;"Absolute"</formula>
    </cfRule>
  </conditionalFormatting>
  <conditionalFormatting sqref="T38">
    <cfRule type="expression" dxfId="577" priority="331">
      <formula>$P37&lt;&gt;"Absolute"</formula>
    </cfRule>
  </conditionalFormatting>
  <conditionalFormatting sqref="T43">
    <cfRule type="expression" dxfId="576" priority="330">
      <formula>$P42&lt;&gt;"Absolute"</formula>
    </cfRule>
  </conditionalFormatting>
  <conditionalFormatting sqref="T48">
    <cfRule type="expression" dxfId="575" priority="329">
      <formula>$P47&lt;&gt;"Absolute"</formula>
    </cfRule>
  </conditionalFormatting>
  <conditionalFormatting sqref="T53">
    <cfRule type="expression" dxfId="574" priority="328">
      <formula>$P52&lt;&gt;"Absolute"</formula>
    </cfRule>
  </conditionalFormatting>
  <conditionalFormatting sqref="T58">
    <cfRule type="expression" dxfId="573" priority="327">
      <formula>$P57&lt;&gt;"Absolute"</formula>
    </cfRule>
  </conditionalFormatting>
  <conditionalFormatting sqref="T63">
    <cfRule type="expression" dxfId="572" priority="326">
      <formula>$P62&lt;&gt;"Absolute"</formula>
    </cfRule>
  </conditionalFormatting>
  <conditionalFormatting sqref="T68">
    <cfRule type="expression" dxfId="571" priority="325">
      <formula>$P67&lt;&gt;"Absolute"</formula>
    </cfRule>
  </conditionalFormatting>
  <conditionalFormatting sqref="T73">
    <cfRule type="expression" dxfId="570" priority="324">
      <formula>$P72&lt;&gt;"Absolute"</formula>
    </cfRule>
  </conditionalFormatting>
  <conditionalFormatting sqref="T78">
    <cfRule type="expression" dxfId="569" priority="323">
      <formula>$P77&lt;&gt;"Absolute"</formula>
    </cfRule>
  </conditionalFormatting>
  <conditionalFormatting sqref="E93:I93">
    <cfRule type="colorScale" priority="322">
      <colorScale>
        <cfvo type="min"/>
        <cfvo type="percentile" val="50"/>
        <cfvo type="max"/>
        <color rgb="FFF8696B"/>
        <color rgb="FFFFEB84"/>
        <color rgb="FF63BE7B"/>
      </colorScale>
    </cfRule>
  </conditionalFormatting>
  <conditionalFormatting sqref="AD32:AE32">
    <cfRule type="expression" dxfId="568" priority="321">
      <formula>$P32&lt;&gt;"Relative Change"</formula>
    </cfRule>
  </conditionalFormatting>
  <conditionalFormatting sqref="AC33:AE33">
    <cfRule type="expression" dxfId="567" priority="320">
      <formula>$P32&lt;&gt;"Relative Change"</formula>
    </cfRule>
  </conditionalFormatting>
  <conditionalFormatting sqref="AC34:AE35">
    <cfRule type="expression" dxfId="566" priority="319">
      <formula>$P32&lt;&gt;"Relative Change"</formula>
    </cfRule>
  </conditionalFormatting>
  <conditionalFormatting sqref="AD37:AE37">
    <cfRule type="expression" dxfId="565" priority="318">
      <formula>$P37&lt;&gt;"Relative Change"</formula>
    </cfRule>
  </conditionalFormatting>
  <conditionalFormatting sqref="AC38:AE38">
    <cfRule type="expression" dxfId="564" priority="317">
      <formula>$P37&lt;&gt;"Relative Change"</formula>
    </cfRule>
  </conditionalFormatting>
  <conditionalFormatting sqref="AC39:AE39">
    <cfRule type="expression" dxfId="563" priority="316">
      <formula>$P37&lt;&gt;"Relative Change"</formula>
    </cfRule>
  </conditionalFormatting>
  <conditionalFormatting sqref="AD42:AE42">
    <cfRule type="expression" dxfId="562" priority="315">
      <formula>$P42&lt;&gt;"Relative Change"</formula>
    </cfRule>
  </conditionalFormatting>
  <conditionalFormatting sqref="AC43:AE43">
    <cfRule type="expression" dxfId="561" priority="314">
      <formula>$P42&lt;&gt;"Relative Change"</formula>
    </cfRule>
  </conditionalFormatting>
  <conditionalFormatting sqref="AC44:AE44">
    <cfRule type="expression" dxfId="560" priority="313">
      <formula>$P42&lt;&gt;"Relative Change"</formula>
    </cfRule>
  </conditionalFormatting>
  <conditionalFormatting sqref="AD47:AE47">
    <cfRule type="expression" dxfId="559" priority="312">
      <formula>$P47&lt;&gt;"Relative Change"</formula>
    </cfRule>
  </conditionalFormatting>
  <conditionalFormatting sqref="AC48:AE48">
    <cfRule type="expression" dxfId="558" priority="311">
      <formula>$P47&lt;&gt;"Relative Change"</formula>
    </cfRule>
  </conditionalFormatting>
  <conditionalFormatting sqref="AC49:AE49">
    <cfRule type="expression" dxfId="557" priority="310">
      <formula>$P47&lt;&gt;"Relative Change"</formula>
    </cfRule>
  </conditionalFormatting>
  <conditionalFormatting sqref="AD52:AE52">
    <cfRule type="expression" dxfId="556" priority="309">
      <formula>$P52&lt;&gt;"Relative Change"</formula>
    </cfRule>
  </conditionalFormatting>
  <conditionalFormatting sqref="AC53:AE53">
    <cfRule type="expression" dxfId="555" priority="308">
      <formula>$P52&lt;&gt;"Relative Change"</formula>
    </cfRule>
  </conditionalFormatting>
  <conditionalFormatting sqref="AC54:AE54">
    <cfRule type="expression" dxfId="554" priority="307">
      <formula>$P52&lt;&gt;"Relative Change"</formula>
    </cfRule>
  </conditionalFormatting>
  <conditionalFormatting sqref="AD57:AE57">
    <cfRule type="expression" dxfId="553" priority="306">
      <formula>$P57&lt;&gt;"Relative Change"</formula>
    </cfRule>
  </conditionalFormatting>
  <conditionalFormatting sqref="AC58:AE58">
    <cfRule type="expression" dxfId="552" priority="305">
      <formula>$P57&lt;&gt;"Relative Change"</formula>
    </cfRule>
  </conditionalFormatting>
  <conditionalFormatting sqref="AC59:AE59">
    <cfRule type="expression" dxfId="551" priority="304">
      <formula>$P57&lt;&gt;"Relative Change"</formula>
    </cfRule>
  </conditionalFormatting>
  <conditionalFormatting sqref="AD62:AE62">
    <cfRule type="expression" dxfId="550" priority="303">
      <formula>$P62&lt;&gt;"Relative Change"</formula>
    </cfRule>
  </conditionalFormatting>
  <conditionalFormatting sqref="AC63:AE63">
    <cfRule type="expression" dxfId="549" priority="302">
      <formula>$P62&lt;&gt;"Relative Change"</formula>
    </cfRule>
  </conditionalFormatting>
  <conditionalFormatting sqref="AC64:AE64">
    <cfRule type="expression" dxfId="548" priority="301">
      <formula>$P62&lt;&gt;"Relative Change"</formula>
    </cfRule>
  </conditionalFormatting>
  <conditionalFormatting sqref="AD67:AE67">
    <cfRule type="expression" dxfId="547" priority="300">
      <formula>$P67&lt;&gt;"Relative Change"</formula>
    </cfRule>
  </conditionalFormatting>
  <conditionalFormatting sqref="AC68:AE68">
    <cfRule type="expression" dxfId="546" priority="299">
      <formula>$P67&lt;&gt;"Relative Change"</formula>
    </cfRule>
  </conditionalFormatting>
  <conditionalFormatting sqref="AC69:AE69">
    <cfRule type="expression" dxfId="545" priority="298">
      <formula>$P67&lt;&gt;"Relative Change"</formula>
    </cfRule>
  </conditionalFormatting>
  <conditionalFormatting sqref="AD72:AE72">
    <cfRule type="expression" dxfId="544" priority="297">
      <formula>$P72&lt;&gt;"Relative Change"</formula>
    </cfRule>
  </conditionalFormatting>
  <conditionalFormatting sqref="AC73:AE73">
    <cfRule type="expression" dxfId="543" priority="296">
      <formula>$P72&lt;&gt;"Relative Change"</formula>
    </cfRule>
  </conditionalFormatting>
  <conditionalFormatting sqref="AC74:AE74">
    <cfRule type="expression" dxfId="542" priority="295">
      <formula>$P72&lt;&gt;"Relative Change"</formula>
    </cfRule>
  </conditionalFormatting>
  <conditionalFormatting sqref="AD77:AE77">
    <cfRule type="expression" dxfId="541" priority="294">
      <formula>$P77&lt;&gt;"Relative Change"</formula>
    </cfRule>
  </conditionalFormatting>
  <conditionalFormatting sqref="AC78:AE78">
    <cfRule type="expression" dxfId="540" priority="293">
      <formula>$P77&lt;&gt;"Relative Change"</formula>
    </cfRule>
  </conditionalFormatting>
  <conditionalFormatting sqref="AC79:AE79">
    <cfRule type="expression" dxfId="539" priority="292">
      <formula>$P77&lt;&gt;"Relative Change"</formula>
    </cfRule>
  </conditionalFormatting>
  <conditionalFormatting sqref="P33">
    <cfRule type="expression" dxfId="538" priority="291">
      <formula>OR($P32="Absolute",$P32="Non-Linear")</formula>
    </cfRule>
  </conditionalFormatting>
  <conditionalFormatting sqref="P34">
    <cfRule type="expression" dxfId="537" priority="290">
      <formula>OR($P32="Absolute",$P32="Non-Linear")</formula>
    </cfRule>
  </conditionalFormatting>
  <conditionalFormatting sqref="Y32:Z32">
    <cfRule type="expression" dxfId="536" priority="289">
      <formula>$P32&lt;&gt;"Relative"</formula>
    </cfRule>
  </conditionalFormatting>
  <conditionalFormatting sqref="Y33:Z33">
    <cfRule type="expression" dxfId="535" priority="288">
      <formula>$P32&lt;&gt;"Relative"</formula>
    </cfRule>
  </conditionalFormatting>
  <conditionalFormatting sqref="Y37:Z37">
    <cfRule type="expression" dxfId="534" priority="287">
      <formula>$P37&lt;&gt;"Relative"</formula>
    </cfRule>
  </conditionalFormatting>
  <conditionalFormatting sqref="Y38:Z38">
    <cfRule type="expression" dxfId="533" priority="286">
      <formula>$P37&lt;&gt;"Relative"</formula>
    </cfRule>
  </conditionalFormatting>
  <conditionalFormatting sqref="Y42:Z42">
    <cfRule type="expression" dxfId="532" priority="285">
      <formula>$P42&lt;&gt;"Relative"</formula>
    </cfRule>
  </conditionalFormatting>
  <conditionalFormatting sqref="Y43:Z43">
    <cfRule type="expression" dxfId="531" priority="284">
      <formula>$P42&lt;&gt;"Relative"</formula>
    </cfRule>
  </conditionalFormatting>
  <conditionalFormatting sqref="Y47:Z47">
    <cfRule type="expression" dxfId="530" priority="283">
      <formula>$P47&lt;&gt;"Relative"</formula>
    </cfRule>
  </conditionalFormatting>
  <conditionalFormatting sqref="Y48:Z48">
    <cfRule type="expression" dxfId="529" priority="282">
      <formula>$P47&lt;&gt;"Relative"</formula>
    </cfRule>
  </conditionalFormatting>
  <conditionalFormatting sqref="Y52:Z52">
    <cfRule type="expression" dxfId="528" priority="281">
      <formula>$P52&lt;&gt;"Relative"</formula>
    </cfRule>
  </conditionalFormatting>
  <conditionalFormatting sqref="Y53:Z53">
    <cfRule type="expression" dxfId="527" priority="280">
      <formula>$P52&lt;&gt;"Relative"</formula>
    </cfRule>
  </conditionalFormatting>
  <conditionalFormatting sqref="Y57:Z57">
    <cfRule type="expression" dxfId="526" priority="279">
      <formula>$P57&lt;&gt;"Relative"</formula>
    </cfRule>
  </conditionalFormatting>
  <conditionalFormatting sqref="Y58:Z58">
    <cfRule type="expression" dxfId="525" priority="278">
      <formula>$P57&lt;&gt;"Relative"</formula>
    </cfRule>
  </conditionalFormatting>
  <conditionalFormatting sqref="Y62:Z62">
    <cfRule type="expression" dxfId="524" priority="277">
      <formula>$P62&lt;&gt;"Relative"</formula>
    </cfRule>
  </conditionalFormatting>
  <conditionalFormatting sqref="Y63:Z63">
    <cfRule type="expression" dxfId="523" priority="276">
      <formula>$P62&lt;&gt;"Relative"</formula>
    </cfRule>
  </conditionalFormatting>
  <conditionalFormatting sqref="Y67:Z67">
    <cfRule type="expression" dxfId="522" priority="275">
      <formula>$P67&lt;&gt;"Relative"</formula>
    </cfRule>
  </conditionalFormatting>
  <conditionalFormatting sqref="Y68:Z68">
    <cfRule type="expression" dxfId="521" priority="274">
      <formula>$P67&lt;&gt;"Relative"</formula>
    </cfRule>
  </conditionalFormatting>
  <conditionalFormatting sqref="Y72:Z72">
    <cfRule type="expression" dxfId="520" priority="273">
      <formula>$P72&lt;&gt;"Relative"</formula>
    </cfRule>
  </conditionalFormatting>
  <conditionalFormatting sqref="Y73:Z73">
    <cfRule type="expression" dxfId="519" priority="272">
      <formula>$P72&lt;&gt;"Relative"</formula>
    </cfRule>
  </conditionalFormatting>
  <conditionalFormatting sqref="Y77:Z77">
    <cfRule type="expression" dxfId="518" priority="271">
      <formula>$P77&lt;&gt;"Relative"</formula>
    </cfRule>
  </conditionalFormatting>
  <conditionalFormatting sqref="Y78:Z78">
    <cfRule type="expression" dxfId="517" priority="270">
      <formula>$P77&lt;&gt;"Relative"</formula>
    </cfRule>
  </conditionalFormatting>
  <conditionalFormatting sqref="AC40:AE40">
    <cfRule type="expression" dxfId="516" priority="269">
      <formula>$P38&lt;&gt;"Relative Change"</formula>
    </cfRule>
  </conditionalFormatting>
  <conditionalFormatting sqref="AC45:AE45">
    <cfRule type="expression" dxfId="515" priority="268">
      <formula>$P43&lt;&gt;"Relative Change"</formula>
    </cfRule>
  </conditionalFormatting>
  <conditionalFormatting sqref="AC50:AE50">
    <cfRule type="expression" dxfId="514" priority="267">
      <formula>$P48&lt;&gt;"Relative Change"</formula>
    </cfRule>
  </conditionalFormatting>
  <conditionalFormatting sqref="AC55:AE55">
    <cfRule type="expression" dxfId="513" priority="266">
      <formula>$P53&lt;&gt;"Relative Change"</formula>
    </cfRule>
  </conditionalFormatting>
  <conditionalFormatting sqref="AC60:AE60">
    <cfRule type="expression" dxfId="512" priority="265">
      <formula>$P58&lt;&gt;"Relative Change"</formula>
    </cfRule>
  </conditionalFormatting>
  <conditionalFormatting sqref="AC65:AE65">
    <cfRule type="expression" dxfId="511" priority="264">
      <formula>$P63&lt;&gt;"Relative Change"</formula>
    </cfRule>
  </conditionalFormatting>
  <conditionalFormatting sqref="AC70:AE70">
    <cfRule type="expression" dxfId="510" priority="263">
      <formula>$P68&lt;&gt;"Relative Change"</formula>
    </cfRule>
  </conditionalFormatting>
  <conditionalFormatting sqref="AC75:AE75">
    <cfRule type="expression" dxfId="509" priority="262">
      <formula>$P73&lt;&gt;"Relative Change"</formula>
    </cfRule>
  </conditionalFormatting>
  <conditionalFormatting sqref="AC80:AE80">
    <cfRule type="expression" dxfId="508" priority="261">
      <formula>$P78&lt;&gt;"Relative Change"</formula>
    </cfRule>
  </conditionalFormatting>
  <conditionalFormatting sqref="P38">
    <cfRule type="expression" dxfId="507" priority="260">
      <formula>OR($P37="Absolute",$P37="Non-Linear")</formula>
    </cfRule>
  </conditionalFormatting>
  <conditionalFormatting sqref="P39">
    <cfRule type="expression" dxfId="506" priority="259">
      <formula>OR($P37="Absolute",$P37="Non-Linear")</formula>
    </cfRule>
  </conditionalFormatting>
  <conditionalFormatting sqref="P43">
    <cfRule type="expression" dxfId="505" priority="258">
      <formula>OR($P42="Absolute",$P42="Non-Linear")</formula>
    </cfRule>
  </conditionalFormatting>
  <conditionalFormatting sqref="P44">
    <cfRule type="expression" dxfId="504" priority="257">
      <formula>OR($P42="Absolute",$P42="Non-Linear")</formula>
    </cfRule>
  </conditionalFormatting>
  <conditionalFormatting sqref="P48">
    <cfRule type="expression" dxfId="503" priority="256">
      <formula>OR($P47="Absolute",$P47="Non-Linear")</formula>
    </cfRule>
  </conditionalFormatting>
  <conditionalFormatting sqref="P49">
    <cfRule type="expression" dxfId="502" priority="255">
      <formula>OR($P47="Absolute",$P47="Non-Linear")</formula>
    </cfRule>
  </conditionalFormatting>
  <conditionalFormatting sqref="P53">
    <cfRule type="expression" dxfId="501" priority="254">
      <formula>OR($P52="Absolute",$P52="Non-Linear")</formula>
    </cfRule>
  </conditionalFormatting>
  <conditionalFormatting sqref="P54">
    <cfRule type="expression" dxfId="500" priority="253">
      <formula>OR($P52="Absolute",$P52="Non-Linear")</formula>
    </cfRule>
  </conditionalFormatting>
  <conditionalFormatting sqref="P58">
    <cfRule type="expression" dxfId="499" priority="252">
      <formula>OR($P57="Absolute",$P57="Non-Linear")</formula>
    </cfRule>
  </conditionalFormatting>
  <conditionalFormatting sqref="P59">
    <cfRule type="expression" dxfId="498" priority="251">
      <formula>OR($P57="Absolute",$P57="Non-Linear")</formula>
    </cfRule>
  </conditionalFormatting>
  <conditionalFormatting sqref="P63">
    <cfRule type="expression" dxfId="497" priority="250">
      <formula>OR($P62="Absolute",$P62="Non-Linear")</formula>
    </cfRule>
  </conditionalFormatting>
  <conditionalFormatting sqref="P64">
    <cfRule type="expression" dxfId="496" priority="249">
      <formula>OR($P62="Absolute",$P62="Non-Linear")</formula>
    </cfRule>
  </conditionalFormatting>
  <conditionalFormatting sqref="P68">
    <cfRule type="expression" dxfId="495" priority="248">
      <formula>OR($P67="Absolute",$P67="Non-Linear")</formula>
    </cfRule>
  </conditionalFormatting>
  <conditionalFormatting sqref="P69">
    <cfRule type="expression" dxfId="494" priority="247">
      <formula>OR($P67="Absolute",$P67="Non-Linear")</formula>
    </cfRule>
  </conditionalFormatting>
  <conditionalFormatting sqref="P73">
    <cfRule type="expression" dxfId="493" priority="246">
      <formula>OR($P72="Absolute",$P72="Non-Linear")</formula>
    </cfRule>
  </conditionalFormatting>
  <conditionalFormatting sqref="P74">
    <cfRule type="expression" dxfId="492" priority="245">
      <formula>OR($P72="Absolute",$P72="Non-Linear")</formula>
    </cfRule>
  </conditionalFormatting>
  <conditionalFormatting sqref="P78">
    <cfRule type="expression" dxfId="491" priority="244">
      <formula>OR($P77="Absolute",$P77="Non-Linear")</formula>
    </cfRule>
  </conditionalFormatting>
  <conditionalFormatting sqref="P79">
    <cfRule type="expression" dxfId="490" priority="243">
      <formula>OR($P77="Absolute",$P77="Non-Linear")</formula>
    </cfRule>
  </conditionalFormatting>
  <conditionalFormatting sqref="E32:I32">
    <cfRule type="expression" dxfId="489" priority="242">
      <formula>$P32&lt;&gt;"Relative Change"</formula>
    </cfRule>
  </conditionalFormatting>
  <conditionalFormatting sqref="E33:I33">
    <cfRule type="expression" dxfId="488" priority="241">
      <formula>$P32&lt;&gt;"Absolute"</formula>
    </cfRule>
  </conditionalFormatting>
  <conditionalFormatting sqref="E34:I34">
    <cfRule type="expression" dxfId="487" priority="240">
      <formula>AND($P32&lt;&gt;"Relative",$P32&lt;&gt;"Relative Change")</formula>
    </cfRule>
  </conditionalFormatting>
  <conditionalFormatting sqref="E35:I35">
    <cfRule type="expression" dxfId="486" priority="239">
      <formula>$P32&lt;&gt;"Non-Linear"</formula>
    </cfRule>
  </conditionalFormatting>
  <conditionalFormatting sqref="J93:N93">
    <cfRule type="colorScale" priority="202">
      <colorScale>
        <cfvo type="min"/>
        <cfvo type="percentile" val="50"/>
        <cfvo type="max"/>
        <color rgb="FFF8696B"/>
        <color rgb="FFFFEB84"/>
        <color rgb="FF63BE7B"/>
      </colorScale>
    </cfRule>
  </conditionalFormatting>
  <conditionalFormatting sqref="J32:N32">
    <cfRule type="expression" dxfId="485" priority="201">
      <formula>$P32&lt;&gt;"Relative Change"</formula>
    </cfRule>
  </conditionalFormatting>
  <conditionalFormatting sqref="J33:N33">
    <cfRule type="expression" dxfId="484" priority="200">
      <formula>$P32&lt;&gt;"Absolute"</formula>
    </cfRule>
  </conditionalFormatting>
  <conditionalFormatting sqref="J34:N34">
    <cfRule type="expression" dxfId="483" priority="199">
      <formula>AND($P32&lt;&gt;"Relative",$P32&lt;&gt;"Relative Change")</formula>
    </cfRule>
  </conditionalFormatting>
  <conditionalFormatting sqref="J35:N35">
    <cfRule type="expression" dxfId="482" priority="198">
      <formula>$P32&lt;&gt;"Non-Linear"</formula>
    </cfRule>
  </conditionalFormatting>
  <conditionalFormatting sqref="E67:I67">
    <cfRule type="expression" dxfId="481" priority="36">
      <formula>$P67&lt;&gt;"Relative Change"</formula>
    </cfRule>
  </conditionalFormatting>
  <conditionalFormatting sqref="E68:I68">
    <cfRule type="expression" dxfId="480" priority="35">
      <formula>$P67&lt;&gt;"Absolute"</formula>
    </cfRule>
  </conditionalFormatting>
  <conditionalFormatting sqref="E69:I69">
    <cfRule type="expression" dxfId="479" priority="34">
      <formula>AND($P67&lt;&gt;"Relative",$P67&lt;&gt;"Relative Change")</formula>
    </cfRule>
  </conditionalFormatting>
  <conditionalFormatting sqref="E70:I70">
    <cfRule type="expression" dxfId="478" priority="33">
      <formula>$P67&lt;&gt;"Non-Linear"</formula>
    </cfRule>
  </conditionalFormatting>
  <conditionalFormatting sqref="J57:N57">
    <cfRule type="expression" dxfId="477" priority="56">
      <formula>$P57&lt;&gt;"Relative Change"</formula>
    </cfRule>
  </conditionalFormatting>
  <conditionalFormatting sqref="J58:N58">
    <cfRule type="expression" dxfId="476" priority="55">
      <formula>$P57&lt;&gt;"Absolute"</formula>
    </cfRule>
  </conditionalFormatting>
  <conditionalFormatting sqref="J59:N59">
    <cfRule type="expression" dxfId="475" priority="54">
      <formula>AND($P57&lt;&gt;"Relative",$P57&lt;&gt;"Relative Change")</formula>
    </cfRule>
  </conditionalFormatting>
  <conditionalFormatting sqref="J60:N60">
    <cfRule type="expression" dxfId="474" priority="53">
      <formula>$P57&lt;&gt;"Non-Linear"</formula>
    </cfRule>
  </conditionalFormatting>
  <conditionalFormatting sqref="E52:I52">
    <cfRule type="expression" dxfId="473" priority="72">
      <formula>$P52&lt;&gt;"Relative Change"</formula>
    </cfRule>
  </conditionalFormatting>
  <conditionalFormatting sqref="E53:I53">
    <cfRule type="expression" dxfId="472" priority="71">
      <formula>$P52&lt;&gt;"Absolute"</formula>
    </cfRule>
  </conditionalFormatting>
  <conditionalFormatting sqref="E54:I54">
    <cfRule type="expression" dxfId="471" priority="70">
      <formula>AND($P52&lt;&gt;"Relative",$P52&lt;&gt;"Relative Change")</formula>
    </cfRule>
  </conditionalFormatting>
  <conditionalFormatting sqref="E55:I55">
    <cfRule type="expression" dxfId="470" priority="69">
      <formula>$P52&lt;&gt;"Non-Linear"</formula>
    </cfRule>
  </conditionalFormatting>
  <conditionalFormatting sqref="J47:N47">
    <cfRule type="expression" dxfId="469" priority="80">
      <formula>$P47&lt;&gt;"Relative Change"</formula>
    </cfRule>
  </conditionalFormatting>
  <conditionalFormatting sqref="J48:N48">
    <cfRule type="expression" dxfId="468" priority="79">
      <formula>$P47&lt;&gt;"Absolute"</formula>
    </cfRule>
  </conditionalFormatting>
  <conditionalFormatting sqref="J49:N49">
    <cfRule type="expression" dxfId="467" priority="78">
      <formula>AND($P47&lt;&gt;"Relative",$P47&lt;&gt;"Relative Change")</formula>
    </cfRule>
  </conditionalFormatting>
  <conditionalFormatting sqref="J50:N50">
    <cfRule type="expression" dxfId="466" priority="77">
      <formula>$P47&lt;&gt;"Non-Linear"</formula>
    </cfRule>
  </conditionalFormatting>
  <conditionalFormatting sqref="E42:I42">
    <cfRule type="expression" dxfId="465" priority="96">
      <formula>$P42&lt;&gt;"Relative Change"</formula>
    </cfRule>
  </conditionalFormatting>
  <conditionalFormatting sqref="E43:I43">
    <cfRule type="expression" dxfId="464" priority="95">
      <formula>$P42&lt;&gt;"Absolute"</formula>
    </cfRule>
  </conditionalFormatting>
  <conditionalFormatting sqref="E44:I44">
    <cfRule type="expression" dxfId="463" priority="94">
      <formula>AND($P42&lt;&gt;"Relative",$P42&lt;&gt;"Relative Change")</formula>
    </cfRule>
  </conditionalFormatting>
  <conditionalFormatting sqref="E45:I45">
    <cfRule type="expression" dxfId="462" priority="93">
      <formula>$P42&lt;&gt;"Non-Linear"</formula>
    </cfRule>
  </conditionalFormatting>
  <conditionalFormatting sqref="J37:N37">
    <cfRule type="expression" dxfId="461" priority="104">
      <formula>$P37&lt;&gt;"Relative Change"</formula>
    </cfRule>
  </conditionalFormatting>
  <conditionalFormatting sqref="J38:N38">
    <cfRule type="expression" dxfId="460" priority="103">
      <formula>$P37&lt;&gt;"Absolute"</formula>
    </cfRule>
  </conditionalFormatting>
  <conditionalFormatting sqref="J39:N39">
    <cfRule type="expression" dxfId="459" priority="102">
      <formula>AND($P37&lt;&gt;"Relative",$P37&lt;&gt;"Relative Change")</formula>
    </cfRule>
  </conditionalFormatting>
  <conditionalFormatting sqref="J40:N40">
    <cfRule type="expression" dxfId="458" priority="101">
      <formula>$P37&lt;&gt;"Non-Linear"</formula>
    </cfRule>
  </conditionalFormatting>
  <conditionalFormatting sqref="E77:I77">
    <cfRule type="expression" dxfId="457" priority="12">
      <formula>$P77&lt;&gt;"Relative Change"</formula>
    </cfRule>
  </conditionalFormatting>
  <conditionalFormatting sqref="E78:I78">
    <cfRule type="expression" dxfId="456" priority="11">
      <formula>$P77&lt;&gt;"Absolute"</formula>
    </cfRule>
  </conditionalFormatting>
  <conditionalFormatting sqref="E79:I79">
    <cfRule type="expression" dxfId="455" priority="10">
      <formula>AND($P77&lt;&gt;"Relative",$P77&lt;&gt;"Relative Change")</formula>
    </cfRule>
  </conditionalFormatting>
  <conditionalFormatting sqref="E80:I80">
    <cfRule type="expression" dxfId="454" priority="9">
      <formula>$P77&lt;&gt;"Non-Linear"</formula>
    </cfRule>
  </conditionalFormatting>
  <conditionalFormatting sqref="J77:N77">
    <cfRule type="expression" dxfId="453" priority="8">
      <formula>$P77&lt;&gt;"Relative Change"</formula>
    </cfRule>
  </conditionalFormatting>
  <conditionalFormatting sqref="J78:N78">
    <cfRule type="expression" dxfId="452" priority="7">
      <formula>$P77&lt;&gt;"Absolute"</formula>
    </cfRule>
  </conditionalFormatting>
  <conditionalFormatting sqref="J79:N79">
    <cfRule type="expression" dxfId="451" priority="6">
      <formula>AND($P77&lt;&gt;"Relative",$P77&lt;&gt;"Relative Change")</formula>
    </cfRule>
  </conditionalFormatting>
  <conditionalFormatting sqref="J80:N80">
    <cfRule type="expression" dxfId="450" priority="5">
      <formula>$P77&lt;&gt;"Non-Linear"</formula>
    </cfRule>
  </conditionalFormatting>
  <conditionalFormatting sqref="E37:I37">
    <cfRule type="expression" dxfId="449" priority="108">
      <formula>$P37&lt;&gt;"Relative Change"</formula>
    </cfRule>
  </conditionalFormatting>
  <conditionalFormatting sqref="E38:I38">
    <cfRule type="expression" dxfId="448" priority="107">
      <formula>$P37&lt;&gt;"Absolute"</formula>
    </cfRule>
  </conditionalFormatting>
  <conditionalFormatting sqref="E39:I39">
    <cfRule type="expression" dxfId="447" priority="106">
      <formula>AND($P37&lt;&gt;"Relative",$P37&lt;&gt;"Relative Change")</formula>
    </cfRule>
  </conditionalFormatting>
  <conditionalFormatting sqref="E40:I40">
    <cfRule type="expression" dxfId="446" priority="105">
      <formula>$P37&lt;&gt;"Non-Linear"</formula>
    </cfRule>
  </conditionalFormatting>
  <conditionalFormatting sqref="J42:N42">
    <cfRule type="expression" dxfId="445" priority="92">
      <formula>$P42&lt;&gt;"Relative Change"</formula>
    </cfRule>
  </conditionalFormatting>
  <conditionalFormatting sqref="J43:N43">
    <cfRule type="expression" dxfId="444" priority="91">
      <formula>$P42&lt;&gt;"Absolute"</formula>
    </cfRule>
  </conditionalFormatting>
  <conditionalFormatting sqref="J44:N44">
    <cfRule type="expression" dxfId="443" priority="90">
      <formula>AND($P42&lt;&gt;"Relative",$P42&lt;&gt;"Relative Change")</formula>
    </cfRule>
  </conditionalFormatting>
  <conditionalFormatting sqref="J45:N45">
    <cfRule type="expression" dxfId="442" priority="89">
      <formula>$P42&lt;&gt;"Non-Linear"</formula>
    </cfRule>
  </conditionalFormatting>
  <conditionalFormatting sqref="E47:I47">
    <cfRule type="expression" dxfId="441" priority="84">
      <formula>$P47&lt;&gt;"Relative Change"</formula>
    </cfRule>
  </conditionalFormatting>
  <conditionalFormatting sqref="E48:I48">
    <cfRule type="expression" dxfId="440" priority="83">
      <formula>$P47&lt;&gt;"Absolute"</formula>
    </cfRule>
  </conditionalFormatting>
  <conditionalFormatting sqref="E49:I49">
    <cfRule type="expression" dxfId="439" priority="82">
      <formula>AND($P47&lt;&gt;"Relative",$P47&lt;&gt;"Relative Change")</formula>
    </cfRule>
  </conditionalFormatting>
  <conditionalFormatting sqref="E50:I50">
    <cfRule type="expression" dxfId="438" priority="81">
      <formula>$P47&lt;&gt;"Non-Linear"</formula>
    </cfRule>
  </conditionalFormatting>
  <conditionalFormatting sqref="J52:N52">
    <cfRule type="expression" dxfId="437" priority="68">
      <formula>$P52&lt;&gt;"Relative Change"</formula>
    </cfRule>
  </conditionalFormatting>
  <conditionalFormatting sqref="J53:N53">
    <cfRule type="expression" dxfId="436" priority="67">
      <formula>$P52&lt;&gt;"Absolute"</formula>
    </cfRule>
  </conditionalFormatting>
  <conditionalFormatting sqref="J54:N54">
    <cfRule type="expression" dxfId="435" priority="66">
      <formula>AND($P52&lt;&gt;"Relative",$P52&lt;&gt;"Relative Change")</formula>
    </cfRule>
  </conditionalFormatting>
  <conditionalFormatting sqref="J55:N55">
    <cfRule type="expression" dxfId="434" priority="65">
      <formula>$P52&lt;&gt;"Non-Linear"</formula>
    </cfRule>
  </conditionalFormatting>
  <conditionalFormatting sqref="E57:I57">
    <cfRule type="expression" dxfId="433" priority="60">
      <formula>$P57&lt;&gt;"Relative Change"</formula>
    </cfRule>
  </conditionalFormatting>
  <conditionalFormatting sqref="E58:I58">
    <cfRule type="expression" dxfId="432" priority="59">
      <formula>$P57&lt;&gt;"Absolute"</formula>
    </cfRule>
  </conditionalFormatting>
  <conditionalFormatting sqref="E59:I59">
    <cfRule type="expression" dxfId="431" priority="58">
      <formula>AND($P57&lt;&gt;"Relative",$P57&lt;&gt;"Relative Change")</formula>
    </cfRule>
  </conditionalFormatting>
  <conditionalFormatting sqref="E60:I60">
    <cfRule type="expression" dxfId="430" priority="57">
      <formula>$P57&lt;&gt;"Non-Linear"</formula>
    </cfRule>
  </conditionalFormatting>
  <conditionalFormatting sqref="E62:I62">
    <cfRule type="expression" dxfId="429" priority="48">
      <formula>$P62&lt;&gt;"Relative Change"</formula>
    </cfRule>
  </conditionalFormatting>
  <conditionalFormatting sqref="E63:I63">
    <cfRule type="expression" dxfId="428" priority="47">
      <formula>$P62&lt;&gt;"Absolute"</formula>
    </cfRule>
  </conditionalFormatting>
  <conditionalFormatting sqref="E64:I64">
    <cfRule type="expression" dxfId="427" priority="46">
      <formula>AND($P62&lt;&gt;"Relative",$P62&lt;&gt;"Relative Change")</formula>
    </cfRule>
  </conditionalFormatting>
  <conditionalFormatting sqref="E65:I65">
    <cfRule type="expression" dxfId="426" priority="45">
      <formula>$P62&lt;&gt;"Non-Linear"</formula>
    </cfRule>
  </conditionalFormatting>
  <conditionalFormatting sqref="J62:N62">
    <cfRule type="expression" dxfId="425" priority="44">
      <formula>$P62&lt;&gt;"Relative Change"</formula>
    </cfRule>
  </conditionalFormatting>
  <conditionalFormatting sqref="J63:N63">
    <cfRule type="expression" dxfId="424" priority="43">
      <formula>$P62&lt;&gt;"Absolute"</formula>
    </cfRule>
  </conditionalFormatting>
  <conditionalFormatting sqref="J64:N64">
    <cfRule type="expression" dxfId="423" priority="42">
      <formula>AND($P62&lt;&gt;"Relative",$P62&lt;&gt;"Relative Change")</formula>
    </cfRule>
  </conditionalFormatting>
  <conditionalFormatting sqref="J65:N65">
    <cfRule type="expression" dxfId="422" priority="41">
      <formula>$P62&lt;&gt;"Non-Linear"</formula>
    </cfRule>
  </conditionalFormatting>
  <conditionalFormatting sqref="J67:N67">
    <cfRule type="expression" dxfId="421" priority="32">
      <formula>$P67&lt;&gt;"Relative Change"</formula>
    </cfRule>
  </conditionalFormatting>
  <conditionalFormatting sqref="J68:N68">
    <cfRule type="expression" dxfId="420" priority="31">
      <formula>$P67&lt;&gt;"Absolute"</formula>
    </cfRule>
  </conditionalFormatting>
  <conditionalFormatting sqref="J69:N69">
    <cfRule type="expression" dxfId="419" priority="30">
      <formula>AND($P67&lt;&gt;"Relative",$P67&lt;&gt;"Relative Change")</formula>
    </cfRule>
  </conditionalFormatting>
  <conditionalFormatting sqref="J70:N70">
    <cfRule type="expression" dxfId="418" priority="29">
      <formula>$P67&lt;&gt;"Non-Linear"</formula>
    </cfRule>
  </conditionalFormatting>
  <conditionalFormatting sqref="E72:I72">
    <cfRule type="expression" dxfId="417" priority="24">
      <formula>$P72&lt;&gt;"Relative Change"</formula>
    </cfRule>
  </conditionalFormatting>
  <conditionalFormatting sqref="E73:I73">
    <cfRule type="expression" dxfId="416" priority="23">
      <formula>$P72&lt;&gt;"Absolute"</formula>
    </cfRule>
  </conditionalFormatting>
  <conditionalFormatting sqref="E74:I74">
    <cfRule type="expression" dxfId="415" priority="22">
      <formula>AND($P72&lt;&gt;"Relative",$P72&lt;&gt;"Relative Change")</formula>
    </cfRule>
  </conditionalFormatting>
  <conditionalFormatting sqref="E75:I75">
    <cfRule type="expression" dxfId="414" priority="21">
      <formula>$P72&lt;&gt;"Non-Linear"</formula>
    </cfRule>
  </conditionalFormatting>
  <conditionalFormatting sqref="J72:N72">
    <cfRule type="expression" dxfId="413" priority="20">
      <formula>$P72&lt;&gt;"Relative Change"</formula>
    </cfRule>
  </conditionalFormatting>
  <conditionalFormatting sqref="J73:N73">
    <cfRule type="expression" dxfId="412" priority="19">
      <formula>$P72&lt;&gt;"Absolute"</formula>
    </cfRule>
  </conditionalFormatting>
  <conditionalFormatting sqref="J74:N74">
    <cfRule type="expression" dxfId="411" priority="18">
      <formula>AND($P72&lt;&gt;"Relative",$P72&lt;&gt;"Relative Change")</formula>
    </cfRule>
  </conditionalFormatting>
  <conditionalFormatting sqref="J75:N75">
    <cfRule type="expression" dxfId="410" priority="17">
      <formula>$P72&lt;&gt;"Non-Linear"</formula>
    </cfRule>
  </conditionalFormatting>
  <dataValidations disablePrompts="1" count="3">
    <dataValidation type="list" allowBlank="1" showInputMessage="1" showErrorMessage="1" sqref="P77 P72 P42 P47 P52 P57 P62 P67">
      <formula1>"Absolute, Non-Linear, Relative, Relative Change"</formula1>
    </dataValidation>
    <dataValidation type="list" allowBlank="1" showInputMessage="1" showErrorMessage="1" sqref="P74 P34 P39 P44 P49 P54 P59 P64 P69 P79">
      <formula1>"+1,-1"</formula1>
    </dataValidation>
    <dataValidation type="list" allowBlank="1" showInputMessage="1" showErrorMessage="1" sqref="P37 P32">
      <formula1>"Absolute, Non-Linear, Relative, Relative Change"</formula1>
    </dataValidation>
  </dataValidations>
  <hyperlinks>
    <hyperlink ref="D6" r:id="rId1"/>
  </hyperlinks>
  <pageMargins left="0.7" right="0.7" top="0.75" bottom="0.75" header="0.3" footer="0.3"/>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2"/>
  </sheetPr>
  <dimension ref="A1:AG188"/>
  <sheetViews>
    <sheetView topLeftCell="A97" workbookViewId="0">
      <selection activeCell="E121" sqref="E121"/>
    </sheetView>
  </sheetViews>
  <sheetFormatPr defaultColWidth="5.90625" defaultRowHeight="13.8"/>
  <cols>
    <col min="1" max="1" width="1.08984375" style="158" customWidth="1"/>
    <col min="2" max="2" width="0.7265625" style="158" customWidth="1"/>
    <col min="3" max="3" width="18.453125" style="158" customWidth="1"/>
    <col min="4" max="4" width="12.1796875" style="158" customWidth="1"/>
    <col min="5" max="14" width="9.36328125" style="158" customWidth="1"/>
    <col min="15" max="15" width="2.1796875" style="158" customWidth="1"/>
    <col min="16" max="16" width="13.36328125" style="158" customWidth="1"/>
    <col min="17" max="17" width="2.1796875" style="158" customWidth="1"/>
    <col min="18" max="23" width="7" style="158" customWidth="1"/>
    <col min="24" max="24" width="2.1796875" style="158" customWidth="1"/>
    <col min="25" max="27" width="7" style="158" customWidth="1"/>
    <col min="28" max="28" width="5.90625" style="158" customWidth="1"/>
    <col min="29" max="29" width="8.90625" style="158" customWidth="1"/>
    <col min="30" max="30" width="7" style="158" customWidth="1"/>
    <col min="31" max="31" width="9" style="158" bestFit="1" customWidth="1"/>
    <col min="32" max="16384" width="5.90625" style="158"/>
  </cols>
  <sheetData>
    <row r="1" spans="1:28" s="874" customFormat="1" ht="16.2">
      <c r="A1" s="873" t="s">
        <v>393</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8"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2646</v>
      </c>
      <c r="P2" s="875"/>
      <c r="Q2" s="875"/>
      <c r="R2" s="875"/>
      <c r="S2" s="875"/>
      <c r="U2" s="873"/>
    </row>
    <row r="3" spans="1:28" s="460" customFormat="1">
      <c r="C3" s="461"/>
      <c r="D3" s="461"/>
      <c r="F3" s="461"/>
      <c r="H3" s="461"/>
      <c r="K3" s="461"/>
      <c r="M3" s="461"/>
      <c r="P3" s="461"/>
    </row>
    <row r="4" spans="1:28" s="460" customFormat="1">
      <c r="C4" s="461"/>
      <c r="D4" s="461"/>
      <c r="F4" s="461"/>
      <c r="H4" s="461"/>
      <c r="K4" s="461"/>
      <c r="M4" s="461"/>
      <c r="P4" s="461"/>
    </row>
    <row r="5" spans="1:28" s="460" customFormat="1">
      <c r="C5" s="460" t="s">
        <v>358</v>
      </c>
      <c r="D5" s="145" t="s">
        <v>382</v>
      </c>
      <c r="F5" s="146"/>
      <c r="H5" s="146"/>
      <c r="K5" s="146"/>
      <c r="M5" s="146"/>
      <c r="P5" s="146"/>
    </row>
    <row r="6" spans="1:28" s="147" customFormat="1">
      <c r="P6" s="154"/>
    </row>
    <row r="7" spans="1:28" s="149" customFormat="1">
      <c r="A7" s="148"/>
      <c r="C7" s="149" t="s">
        <v>356</v>
      </c>
      <c r="E7" s="150"/>
      <c r="F7" s="150"/>
      <c r="G7" s="150"/>
      <c r="H7" s="150"/>
      <c r="I7" s="150"/>
      <c r="J7" s="150"/>
      <c r="K7" s="150"/>
      <c r="L7" s="150"/>
      <c r="M7" s="150"/>
      <c r="N7" s="150"/>
    </row>
    <row r="8" spans="1:28" s="147" customFormat="1">
      <c r="P8" s="154"/>
    </row>
    <row r="9" spans="1:28" s="147" customFormat="1">
      <c r="C9" s="151" t="s">
        <v>383</v>
      </c>
      <c r="D9" s="151"/>
      <c r="H9" s="152" t="s">
        <v>384</v>
      </c>
      <c r="M9" s="152" t="s">
        <v>384</v>
      </c>
    </row>
    <row r="10" spans="1:28" s="147" customFormat="1">
      <c r="C10" s="153"/>
      <c r="D10" s="154" t="s">
        <v>385</v>
      </c>
      <c r="H10" s="459"/>
      <c r="I10" s="154" t="s">
        <v>386</v>
      </c>
      <c r="M10" s="459"/>
      <c r="N10" s="154" t="s">
        <v>386</v>
      </c>
    </row>
    <row r="11" spans="1:28" s="147" customFormat="1">
      <c r="C11" s="156"/>
      <c r="D11" s="154" t="s">
        <v>354</v>
      </c>
    </row>
    <row r="12" spans="1:28" s="147" customFormat="1">
      <c r="C12" s="157"/>
      <c r="D12" s="154" t="s">
        <v>387</v>
      </c>
    </row>
    <row r="13" spans="1:28">
      <c r="B13" s="159"/>
      <c r="D13" s="160"/>
      <c r="E13" s="161"/>
      <c r="F13" s="161"/>
      <c r="G13" s="161"/>
      <c r="H13" s="161"/>
      <c r="I13" s="161"/>
      <c r="J13" s="161"/>
      <c r="K13" s="161"/>
      <c r="L13" s="161"/>
      <c r="M13" s="161"/>
      <c r="N13" s="161"/>
    </row>
    <row r="14" spans="1:28" s="149" customFormat="1" ht="20.100000000000001" customHeight="1">
      <c r="C14" s="162" t="s">
        <v>113</v>
      </c>
      <c r="D14" s="163"/>
      <c r="E14" s="163"/>
      <c r="F14" s="163"/>
      <c r="G14" s="163"/>
      <c r="H14" s="163"/>
      <c r="I14" s="163"/>
      <c r="J14" s="163"/>
      <c r="K14" s="163"/>
      <c r="L14" s="163"/>
      <c r="M14" s="163"/>
      <c r="N14" s="163"/>
      <c r="O14" s="163"/>
      <c r="P14" s="163"/>
      <c r="Q14" s="163"/>
      <c r="R14" s="163"/>
      <c r="S14" s="163"/>
      <c r="T14" s="163"/>
      <c r="U14" s="163"/>
      <c r="V14" s="163"/>
      <c r="X14" s="163"/>
      <c r="AB14" s="163"/>
    </row>
    <row r="15" spans="1:28" s="147" customFormat="1">
      <c r="P15" s="154"/>
    </row>
    <row r="16" spans="1:28" s="149" customFormat="1">
      <c r="A16" s="148"/>
      <c r="C16" s="149" t="s">
        <v>428</v>
      </c>
      <c r="E16" s="150"/>
      <c r="F16" s="150"/>
      <c r="G16" s="150"/>
      <c r="H16" s="150"/>
      <c r="I16" s="150"/>
      <c r="J16" s="150"/>
      <c r="K16" s="150"/>
      <c r="L16" s="150"/>
      <c r="M16" s="150"/>
      <c r="N16" s="150"/>
    </row>
    <row r="17" spans="1:33">
      <c r="B17" s="159"/>
      <c r="D17" s="160"/>
      <c r="E17" s="161"/>
      <c r="F17" s="161"/>
      <c r="G17" s="161"/>
      <c r="H17" s="161"/>
      <c r="I17" s="161"/>
      <c r="J17" s="161"/>
      <c r="K17" s="161"/>
      <c r="L17" s="161"/>
      <c r="M17" s="161"/>
      <c r="N17" s="161"/>
    </row>
    <row r="18" spans="1:33">
      <c r="B18" s="159"/>
      <c r="C18" s="158" t="s">
        <v>975</v>
      </c>
      <c r="D18" s="171" t="s">
        <v>2665</v>
      </c>
      <c r="E18" s="161"/>
      <c r="F18" s="161"/>
      <c r="G18" s="161"/>
      <c r="H18" s="161"/>
      <c r="I18" s="161"/>
      <c r="J18" s="161"/>
      <c r="K18" s="161"/>
      <c r="L18" s="161"/>
      <c r="M18" s="161"/>
      <c r="N18" s="161"/>
    </row>
    <row r="19" spans="1:33" s="147" customFormat="1" ht="6" customHeight="1"/>
    <row r="20" spans="1:33">
      <c r="B20" s="159"/>
      <c r="C20" s="158" t="s">
        <v>973</v>
      </c>
      <c r="D20" s="430">
        <f>xxSim0Tool1</f>
        <v>1</v>
      </c>
      <c r="E20" s="458" t="s">
        <v>972</v>
      </c>
      <c r="F20" s="161"/>
      <c r="G20" s="161"/>
      <c r="H20" s="161"/>
      <c r="I20" s="161"/>
      <c r="J20" s="458" t="s">
        <v>972</v>
      </c>
      <c r="K20" s="161"/>
      <c r="L20" s="161"/>
      <c r="M20" s="161"/>
      <c r="N20" s="161"/>
    </row>
    <row r="21" spans="1:33" s="147" customFormat="1" ht="6" customHeight="1"/>
    <row r="22" spans="1:33">
      <c r="B22" s="159"/>
      <c r="C22" s="158" t="s">
        <v>971</v>
      </c>
      <c r="D22" s="430">
        <f>xxRound</f>
        <v>1</v>
      </c>
      <c r="E22" s="458" t="s">
        <v>970</v>
      </c>
      <c r="F22" s="161"/>
      <c r="G22" s="161"/>
      <c r="H22" s="161"/>
      <c r="I22" s="161"/>
      <c r="J22" s="458" t="s">
        <v>970</v>
      </c>
      <c r="K22" s="161"/>
      <c r="L22" s="161"/>
      <c r="M22" s="161"/>
      <c r="N22" s="161"/>
    </row>
    <row r="23" spans="1:33" s="147" customFormat="1">
      <c r="P23" s="154"/>
    </row>
    <row r="24" spans="1:33" s="149" customFormat="1">
      <c r="A24" s="148"/>
      <c r="C24" s="149" t="s">
        <v>969</v>
      </c>
      <c r="E24" s="150"/>
      <c r="F24" s="150"/>
      <c r="G24" s="150"/>
      <c r="H24" s="150"/>
      <c r="I24" s="150"/>
      <c r="J24" s="150"/>
      <c r="K24" s="150"/>
      <c r="L24" s="150"/>
      <c r="M24" s="150"/>
      <c r="N24" s="150"/>
    </row>
    <row r="25" spans="1:33">
      <c r="B25" s="159"/>
      <c r="C25" s="457" t="s">
        <v>968</v>
      </c>
      <c r="D25" s="160"/>
      <c r="E25" s="161"/>
      <c r="F25" s="161"/>
      <c r="G25" s="161"/>
      <c r="H25" s="161"/>
      <c r="I25" s="161"/>
      <c r="J25" s="161"/>
      <c r="K25" s="161"/>
      <c r="L25" s="161"/>
      <c r="M25" s="161"/>
      <c r="N25" s="161"/>
    </row>
    <row r="26" spans="1:33">
      <c r="B26" s="159"/>
      <c r="D26" s="160"/>
      <c r="E26" s="161"/>
      <c r="F26" s="161"/>
      <c r="G26" s="161"/>
      <c r="H26" s="161"/>
      <c r="I26" s="161"/>
      <c r="J26" s="161"/>
      <c r="K26" s="161"/>
      <c r="L26" s="161"/>
      <c r="M26" s="161"/>
      <c r="N26" s="161"/>
    </row>
    <row r="27" spans="1:33" s="147" customFormat="1">
      <c r="C27" s="147" t="str">
        <f>"Opening "&amp;$D$18</f>
        <v>Opening CP Advocacy</v>
      </c>
      <c r="E27" s="724">
        <f t="shared" ref="E27:N27" si="0">obalCPE</f>
        <v>80</v>
      </c>
      <c r="F27" s="724">
        <f t="shared" si="0"/>
        <v>80</v>
      </c>
      <c r="G27" s="724">
        <f t="shared" si="0"/>
        <v>80</v>
      </c>
      <c r="H27" s="724">
        <f t="shared" si="0"/>
        <v>80</v>
      </c>
      <c r="I27" s="724">
        <f t="shared" si="0"/>
        <v>80</v>
      </c>
      <c r="J27" s="724">
        <f t="shared" si="0"/>
        <v>80</v>
      </c>
      <c r="K27" s="724">
        <f t="shared" si="0"/>
        <v>80</v>
      </c>
      <c r="L27" s="724">
        <f t="shared" si="0"/>
        <v>80</v>
      </c>
      <c r="M27" s="724">
        <f t="shared" si="0"/>
        <v>80</v>
      </c>
      <c r="N27" s="724">
        <f t="shared" si="0"/>
        <v>80</v>
      </c>
      <c r="O27" s="428" t="s">
        <v>967</v>
      </c>
    </row>
    <row r="28" spans="1:33" s="147" customFormat="1"/>
    <row r="29" spans="1:33" s="147" customFormat="1">
      <c r="C29" s="151" t="s">
        <v>966</v>
      </c>
      <c r="E29" s="1305" t="s">
        <v>965</v>
      </c>
      <c r="F29" s="1305"/>
      <c r="G29" s="1305"/>
      <c r="H29" s="1305"/>
      <c r="I29" s="1305"/>
      <c r="J29" s="1305" t="s">
        <v>965</v>
      </c>
      <c r="K29" s="1305"/>
      <c r="L29" s="1305"/>
      <c r="M29" s="1305"/>
      <c r="N29" s="1305"/>
      <c r="O29" s="151"/>
      <c r="P29" s="151" t="s">
        <v>964</v>
      </c>
      <c r="Q29" s="151"/>
      <c r="R29" s="151" t="s">
        <v>963</v>
      </c>
      <c r="X29" s="151"/>
      <c r="Y29" s="151" t="s">
        <v>962</v>
      </c>
      <c r="AB29" s="151"/>
      <c r="AC29" s="151" t="s">
        <v>961</v>
      </c>
    </row>
    <row r="30" spans="1:33" s="147" customFormat="1" ht="6" customHeight="1">
      <c r="R30" s="456"/>
      <c r="S30" s="455"/>
      <c r="T30" s="455"/>
      <c r="U30" s="455"/>
      <c r="V30" s="455"/>
      <c r="W30" s="454"/>
      <c r="Y30" s="456"/>
      <c r="Z30" s="455"/>
      <c r="AA30" s="454"/>
    </row>
    <row r="31" spans="1:33" s="147" customFormat="1">
      <c r="C31" s="700" t="s">
        <v>466</v>
      </c>
      <c r="D31" s="147" t="s">
        <v>952</v>
      </c>
      <c r="E31" s="453">
        <v>5</v>
      </c>
      <c r="F31" s="452">
        <v>5</v>
      </c>
      <c r="G31" s="452">
        <v>5</v>
      </c>
      <c r="H31" s="452">
        <v>5</v>
      </c>
      <c r="I31" s="452">
        <v>5</v>
      </c>
      <c r="J31" s="452">
        <v>5</v>
      </c>
      <c r="K31" s="452">
        <v>5</v>
      </c>
      <c r="L31" s="452">
        <v>5</v>
      </c>
      <c r="M31" s="452">
        <v>5</v>
      </c>
      <c r="N31" s="452">
        <v>5</v>
      </c>
      <c r="P31" s="935" t="str">
        <f>IF(xxSim0Tool1=1,"Non-Linear","Relative")</f>
        <v>Non-Linear</v>
      </c>
      <c r="R31" s="449" t="s">
        <v>784</v>
      </c>
      <c r="S31" s="448" t="s">
        <v>783</v>
      </c>
      <c r="T31" s="448" t="s">
        <v>782</v>
      </c>
      <c r="U31" s="448" t="s">
        <v>781</v>
      </c>
      <c r="V31" s="448" t="s">
        <v>780</v>
      </c>
      <c r="W31" s="450" t="s">
        <v>779</v>
      </c>
      <c r="Y31" s="449" t="s">
        <v>951</v>
      </c>
      <c r="Z31" s="448" t="s">
        <v>114</v>
      </c>
      <c r="AA31" s="438"/>
      <c r="AC31" s="456"/>
      <c r="AD31" s="455" t="s">
        <v>951</v>
      </c>
      <c r="AE31" s="454" t="s">
        <v>114</v>
      </c>
    </row>
    <row r="32" spans="1:33" s="147" customFormat="1">
      <c r="D32" s="147" t="s">
        <v>950</v>
      </c>
      <c r="E32" s="443">
        <v>3</v>
      </c>
      <c r="F32" s="442">
        <v>3</v>
      </c>
      <c r="G32" s="442">
        <v>3</v>
      </c>
      <c r="H32" s="442">
        <v>3</v>
      </c>
      <c r="I32" s="442">
        <v>3</v>
      </c>
      <c r="J32" s="442">
        <v>3</v>
      </c>
      <c r="K32" s="442">
        <v>3</v>
      </c>
      <c r="L32" s="442">
        <v>3</v>
      </c>
      <c r="M32" s="442">
        <v>3</v>
      </c>
      <c r="N32" s="442">
        <v>3</v>
      </c>
      <c r="P32" s="447" t="s">
        <v>191</v>
      </c>
      <c r="R32" s="445">
        <v>-3</v>
      </c>
      <c r="S32" s="436">
        <v>-1</v>
      </c>
      <c r="T32" s="436">
        <v>-0.5</v>
      </c>
      <c r="U32" s="436">
        <v>0</v>
      </c>
      <c r="V32" s="436">
        <v>1</v>
      </c>
      <c r="W32" s="446">
        <v>3</v>
      </c>
      <c r="Y32" s="445">
        <v>10</v>
      </c>
      <c r="Z32" s="444">
        <v>1</v>
      </c>
      <c r="AA32" s="438"/>
      <c r="AC32" s="437" t="s">
        <v>949</v>
      </c>
      <c r="AD32" s="436">
        <v>2</v>
      </c>
      <c r="AE32" s="435">
        <v>1</v>
      </c>
      <c r="AF32" s="434"/>
      <c r="AG32" s="434"/>
    </row>
    <row r="33" spans="3:33" s="147" customFormat="1">
      <c r="D33" s="147" t="s">
        <v>948</v>
      </c>
      <c r="E33" s="443">
        <f>IF(xxNumOfTeams&gt;0,cbalCommercialSkill2+cbalConsumerSkill2,0)</f>
        <v>10</v>
      </c>
      <c r="F33" s="442">
        <f>IF(xxNumOfTeams&gt;1,cbalCommercialSkill2+cbalConsumerSkill2,0)</f>
        <v>10</v>
      </c>
      <c r="G33" s="442">
        <f>IF(xxNumOfTeams&gt;2,cbalCommercialSkill2+cbalConsumerSkill2,0)</f>
        <v>10</v>
      </c>
      <c r="H33" s="442">
        <f>IF(xxNumOfTeams&gt;3,cbalCommercialSkill2+cbalConsumerSkill2,0)</f>
        <v>10</v>
      </c>
      <c r="I33" s="442">
        <f>IF(xxNumOfTeams&gt;4,cbalCommercialSkill2+cbalConsumerSkill2,0)</f>
        <v>10</v>
      </c>
      <c r="J33" s="442">
        <f>IF(xxNumOfTeams&gt;5,cbalCommercialSkill2+cbalConsumerSkill2,0)</f>
        <v>10</v>
      </c>
      <c r="K33" s="442">
        <f>IF(xxNumOfTeams&gt;6,cbalCommercialSkill2+cbalConsumerSkill2,0)</f>
        <v>10</v>
      </c>
      <c r="L33" s="442">
        <f>IF(xxNumOfTeams&gt;7,cbalCommercialSkill2+cbalConsumerSkill2,0)</f>
        <v>10</v>
      </c>
      <c r="M33" s="442">
        <f>IF(xxNumOfTeams&gt;8,cbalCommercialSkill2+cbalConsumerSkill2,0)</f>
        <v>10</v>
      </c>
      <c r="N33" s="442">
        <f>IF(xxNumOfTeams&gt;9,cbalCommercialSkill2+cbalConsumerSkill2,0)</f>
        <v>10</v>
      </c>
      <c r="P33" s="441">
        <v>1</v>
      </c>
      <c r="R33" s="437"/>
      <c r="S33" s="433"/>
      <c r="T33" s="433"/>
      <c r="U33" s="433"/>
      <c r="V33" s="433"/>
      <c r="W33" s="438"/>
      <c r="Y33" s="437"/>
      <c r="Z33" s="433"/>
      <c r="AA33" s="438"/>
      <c r="AC33" s="437" t="s">
        <v>947</v>
      </c>
      <c r="AD33" s="436">
        <v>-0.3</v>
      </c>
      <c r="AE33" s="435">
        <v>2</v>
      </c>
      <c r="AF33" s="434"/>
      <c r="AG33" s="434"/>
    </row>
    <row r="34" spans="3:33" s="147" customFormat="1">
      <c r="D34" s="147" t="s">
        <v>946</v>
      </c>
      <c r="E34" s="440">
        <f t="shared" ref="E34:N34" si="1">(cbalCommercialSkill2+cbalCommercialSkill2)*$R34</f>
        <v>0.5</v>
      </c>
      <c r="F34" s="439">
        <f t="shared" si="1"/>
        <v>0.5</v>
      </c>
      <c r="G34" s="439">
        <f t="shared" si="1"/>
        <v>0.5</v>
      </c>
      <c r="H34" s="439">
        <f t="shared" si="1"/>
        <v>0.5</v>
      </c>
      <c r="I34" s="439">
        <f t="shared" si="1"/>
        <v>0.5</v>
      </c>
      <c r="J34" s="439">
        <f t="shared" si="1"/>
        <v>0.5</v>
      </c>
      <c r="K34" s="439">
        <f t="shared" si="1"/>
        <v>0.5</v>
      </c>
      <c r="L34" s="439">
        <f t="shared" si="1"/>
        <v>0.5</v>
      </c>
      <c r="M34" s="439">
        <f t="shared" si="1"/>
        <v>0.5</v>
      </c>
      <c r="N34" s="439">
        <f t="shared" si="1"/>
        <v>0.5</v>
      </c>
      <c r="O34" s="428"/>
      <c r="R34" s="934">
        <v>0.05</v>
      </c>
      <c r="S34" s="433"/>
      <c r="T34" s="433"/>
      <c r="U34" s="433"/>
      <c r="V34" s="433"/>
      <c r="W34" s="438"/>
      <c r="Y34" s="437"/>
      <c r="Z34" s="433"/>
      <c r="AA34" s="438"/>
      <c r="AC34" s="437"/>
      <c r="AD34" s="436"/>
      <c r="AE34" s="435"/>
      <c r="AF34" s="434"/>
      <c r="AG34" s="434"/>
    </row>
    <row r="35" spans="3:33" s="147" customFormat="1">
      <c r="E35" s="433"/>
      <c r="F35" s="433"/>
      <c r="G35" s="433"/>
      <c r="H35" s="433"/>
      <c r="I35" s="433"/>
      <c r="J35" s="433"/>
      <c r="K35" s="433"/>
      <c r="L35" s="433"/>
      <c r="M35" s="433"/>
      <c r="N35" s="433"/>
      <c r="R35" s="437"/>
      <c r="S35" s="433"/>
      <c r="T35" s="433"/>
      <c r="U35" s="433"/>
      <c r="V35" s="433"/>
      <c r="W35" s="438"/>
      <c r="Y35" s="437"/>
      <c r="Z35" s="433"/>
      <c r="AA35" s="438"/>
      <c r="AC35" s="437"/>
      <c r="AD35" s="433"/>
      <c r="AE35" s="438"/>
    </row>
    <row r="36" spans="3:33" s="147" customFormat="1">
      <c r="C36" s="700" t="s">
        <v>467</v>
      </c>
      <c r="D36" s="147" t="s">
        <v>952</v>
      </c>
      <c r="E36" s="453">
        <v>5</v>
      </c>
      <c r="F36" s="452">
        <v>5</v>
      </c>
      <c r="G36" s="452">
        <v>5</v>
      </c>
      <c r="H36" s="452">
        <v>5</v>
      </c>
      <c r="I36" s="452">
        <v>5</v>
      </c>
      <c r="J36" s="452">
        <v>5</v>
      </c>
      <c r="K36" s="452">
        <v>5</v>
      </c>
      <c r="L36" s="452">
        <v>5</v>
      </c>
      <c r="M36" s="452">
        <v>5</v>
      </c>
      <c r="N36" s="452">
        <v>5</v>
      </c>
      <c r="P36" s="935" t="str">
        <f>IF(xxSim0Tool1=1,"Non-Linear","Relative")</f>
        <v>Non-Linear</v>
      </c>
      <c r="R36" s="449" t="s">
        <v>784</v>
      </c>
      <c r="S36" s="448" t="s">
        <v>783</v>
      </c>
      <c r="T36" s="448" t="s">
        <v>782</v>
      </c>
      <c r="U36" s="448" t="s">
        <v>781</v>
      </c>
      <c r="V36" s="448" t="s">
        <v>780</v>
      </c>
      <c r="W36" s="450" t="s">
        <v>779</v>
      </c>
      <c r="Y36" s="449" t="s">
        <v>951</v>
      </c>
      <c r="Z36" s="448" t="s">
        <v>114</v>
      </c>
      <c r="AA36" s="438"/>
      <c r="AC36" s="437"/>
      <c r="AD36" s="433" t="s">
        <v>951</v>
      </c>
      <c r="AE36" s="438" t="s">
        <v>114</v>
      </c>
    </row>
    <row r="37" spans="3:33" s="147" customFormat="1">
      <c r="D37" s="147" t="s">
        <v>950</v>
      </c>
      <c r="E37" s="443">
        <v>3</v>
      </c>
      <c r="F37" s="442">
        <v>3</v>
      </c>
      <c r="G37" s="442">
        <v>3</v>
      </c>
      <c r="H37" s="442">
        <v>3</v>
      </c>
      <c r="I37" s="442">
        <v>3</v>
      </c>
      <c r="J37" s="442">
        <v>3</v>
      </c>
      <c r="K37" s="442">
        <v>3</v>
      </c>
      <c r="L37" s="442">
        <v>3</v>
      </c>
      <c r="M37" s="442">
        <v>3</v>
      </c>
      <c r="N37" s="442">
        <v>3</v>
      </c>
      <c r="P37" s="447" t="s">
        <v>191</v>
      </c>
      <c r="R37" s="445">
        <v>-3</v>
      </c>
      <c r="S37" s="436">
        <v>-1</v>
      </c>
      <c r="T37" s="436">
        <v>-0.5</v>
      </c>
      <c r="U37" s="436">
        <v>0</v>
      </c>
      <c r="V37" s="436">
        <v>1</v>
      </c>
      <c r="W37" s="446">
        <v>3</v>
      </c>
      <c r="Y37" s="445">
        <v>10</v>
      </c>
      <c r="Z37" s="444">
        <v>1</v>
      </c>
      <c r="AA37" s="438"/>
      <c r="AC37" s="437" t="s">
        <v>949</v>
      </c>
      <c r="AD37" s="436">
        <v>2</v>
      </c>
      <c r="AE37" s="435">
        <v>1</v>
      </c>
    </row>
    <row r="38" spans="3:33" s="147" customFormat="1">
      <c r="D38" s="147" t="s">
        <v>948</v>
      </c>
      <c r="E38" s="443">
        <f t="shared" ref="E38:N38" si="2">IF(xxNumOfTeams&gt;0,cbalCommercialSkill3,0)</f>
        <v>2</v>
      </c>
      <c r="F38" s="442">
        <f t="shared" si="2"/>
        <v>2</v>
      </c>
      <c r="G38" s="442">
        <f t="shared" si="2"/>
        <v>2</v>
      </c>
      <c r="H38" s="442">
        <f t="shared" si="2"/>
        <v>2</v>
      </c>
      <c r="I38" s="442">
        <f t="shared" si="2"/>
        <v>2</v>
      </c>
      <c r="J38" s="442">
        <f t="shared" si="2"/>
        <v>2</v>
      </c>
      <c r="K38" s="442">
        <f t="shared" si="2"/>
        <v>2</v>
      </c>
      <c r="L38" s="442">
        <f t="shared" si="2"/>
        <v>2</v>
      </c>
      <c r="M38" s="442">
        <f t="shared" si="2"/>
        <v>2</v>
      </c>
      <c r="N38" s="442">
        <f t="shared" si="2"/>
        <v>2</v>
      </c>
      <c r="P38" s="441">
        <v>1</v>
      </c>
      <c r="R38" s="437"/>
      <c r="S38" s="433"/>
      <c r="T38" s="433"/>
      <c r="U38" s="433"/>
      <c r="V38" s="433"/>
      <c r="W38" s="438"/>
      <c r="Y38" s="437"/>
      <c r="Z38" s="433"/>
      <c r="AA38" s="438"/>
      <c r="AC38" s="437" t="s">
        <v>947</v>
      </c>
      <c r="AD38" s="436">
        <v>-0.3</v>
      </c>
      <c r="AE38" s="435">
        <v>2</v>
      </c>
    </row>
    <row r="39" spans="3:33" s="147" customFormat="1">
      <c r="D39" s="147" t="s">
        <v>946</v>
      </c>
      <c r="E39" s="440">
        <f t="shared" ref="E39:N39" si="3">(cbalCommercialSkill3+cbalCommercialSkill3)*$R39</f>
        <v>0.2</v>
      </c>
      <c r="F39" s="439">
        <f t="shared" si="3"/>
        <v>0.2</v>
      </c>
      <c r="G39" s="439">
        <f t="shared" si="3"/>
        <v>0.2</v>
      </c>
      <c r="H39" s="439">
        <f t="shared" si="3"/>
        <v>0.2</v>
      </c>
      <c r="I39" s="439">
        <f t="shared" si="3"/>
        <v>0.2</v>
      </c>
      <c r="J39" s="439">
        <f t="shared" si="3"/>
        <v>0.2</v>
      </c>
      <c r="K39" s="439">
        <f t="shared" si="3"/>
        <v>0.2</v>
      </c>
      <c r="L39" s="439">
        <f t="shared" si="3"/>
        <v>0.2</v>
      </c>
      <c r="M39" s="439">
        <f t="shared" si="3"/>
        <v>0.2</v>
      </c>
      <c r="N39" s="439">
        <f t="shared" si="3"/>
        <v>0.2</v>
      </c>
      <c r="O39" s="428"/>
      <c r="R39" s="934">
        <v>0.05</v>
      </c>
      <c r="S39" s="433"/>
      <c r="T39" s="433"/>
      <c r="U39" s="433"/>
      <c r="V39" s="433"/>
      <c r="W39" s="438"/>
      <c r="Y39" s="437"/>
      <c r="Z39" s="433"/>
      <c r="AA39" s="438"/>
      <c r="AC39" s="437"/>
      <c r="AD39" s="436"/>
      <c r="AE39" s="435"/>
      <c r="AF39" s="434"/>
      <c r="AG39" s="434"/>
    </row>
    <row r="40" spans="3:33" s="147" customFormat="1">
      <c r="E40" s="433"/>
      <c r="F40" s="433"/>
      <c r="G40" s="433"/>
      <c r="H40" s="433"/>
      <c r="I40" s="433"/>
      <c r="J40" s="433"/>
      <c r="K40" s="433"/>
      <c r="L40" s="433"/>
      <c r="M40" s="433"/>
      <c r="N40" s="433"/>
      <c r="R40" s="437"/>
      <c r="S40" s="433"/>
      <c r="T40" s="433"/>
      <c r="U40" s="433"/>
      <c r="V40" s="433"/>
      <c r="W40" s="438"/>
      <c r="Y40" s="437"/>
      <c r="Z40" s="433"/>
      <c r="AA40" s="438"/>
      <c r="AC40" s="437"/>
      <c r="AD40" s="433"/>
      <c r="AE40" s="438"/>
    </row>
    <row r="41" spans="3:33" s="147" customFormat="1">
      <c r="C41" s="700" t="s">
        <v>425</v>
      </c>
      <c r="D41" s="147" t="s">
        <v>952</v>
      </c>
      <c r="E41" s="453">
        <v>5</v>
      </c>
      <c r="F41" s="452">
        <v>5</v>
      </c>
      <c r="G41" s="452">
        <v>5</v>
      </c>
      <c r="H41" s="452">
        <v>5</v>
      </c>
      <c r="I41" s="452">
        <v>5</v>
      </c>
      <c r="J41" s="452">
        <v>5</v>
      </c>
      <c r="K41" s="452">
        <v>5</v>
      </c>
      <c r="L41" s="452">
        <v>5</v>
      </c>
      <c r="M41" s="452">
        <v>5</v>
      </c>
      <c r="N41" s="452">
        <v>5</v>
      </c>
      <c r="P41" s="935" t="str">
        <f>IF(xxSim0Tool1=1,"Non-Linear","Relative")</f>
        <v>Non-Linear</v>
      </c>
      <c r="R41" s="449" t="s">
        <v>784</v>
      </c>
      <c r="S41" s="448" t="s">
        <v>783</v>
      </c>
      <c r="T41" s="448" t="s">
        <v>782</v>
      </c>
      <c r="U41" s="448" t="s">
        <v>781</v>
      </c>
      <c r="V41" s="448" t="s">
        <v>780</v>
      </c>
      <c r="W41" s="450" t="s">
        <v>779</v>
      </c>
      <c r="Y41" s="449" t="s">
        <v>951</v>
      </c>
      <c r="Z41" s="448" t="s">
        <v>114</v>
      </c>
      <c r="AA41" s="438"/>
      <c r="AC41" s="437"/>
      <c r="AD41" s="433" t="s">
        <v>951</v>
      </c>
      <c r="AE41" s="438" t="s">
        <v>114</v>
      </c>
    </row>
    <row r="42" spans="3:33" s="147" customFormat="1">
      <c r="D42" s="147" t="s">
        <v>950</v>
      </c>
      <c r="E42" s="443">
        <v>3</v>
      </c>
      <c r="F42" s="442">
        <v>3</v>
      </c>
      <c r="G42" s="442">
        <v>3</v>
      </c>
      <c r="H42" s="442">
        <v>3</v>
      </c>
      <c r="I42" s="442">
        <v>3</v>
      </c>
      <c r="J42" s="442">
        <v>3</v>
      </c>
      <c r="K42" s="442">
        <v>3</v>
      </c>
      <c r="L42" s="442">
        <v>3</v>
      </c>
      <c r="M42" s="442">
        <v>3</v>
      </c>
      <c r="N42" s="442">
        <v>3</v>
      </c>
      <c r="P42" s="447" t="s">
        <v>191</v>
      </c>
      <c r="R42" s="445">
        <v>-3</v>
      </c>
      <c r="S42" s="436">
        <v>-1</v>
      </c>
      <c r="T42" s="436">
        <v>-0.5</v>
      </c>
      <c r="U42" s="436">
        <v>0</v>
      </c>
      <c r="V42" s="436">
        <v>1</v>
      </c>
      <c r="W42" s="446">
        <v>3</v>
      </c>
      <c r="Y42" s="445">
        <v>10</v>
      </c>
      <c r="Z42" s="444">
        <v>1</v>
      </c>
      <c r="AA42" s="438"/>
      <c r="AC42" s="437" t="s">
        <v>949</v>
      </c>
      <c r="AD42" s="436">
        <v>2</v>
      </c>
      <c r="AE42" s="435">
        <v>1</v>
      </c>
    </row>
    <row r="43" spans="3:33" s="147" customFormat="1">
      <c r="D43" s="147" t="s">
        <v>948</v>
      </c>
      <c r="E43" s="443">
        <f>IF(xxNumOfTeams&gt;0,cbalCommercialPartnerEducation+cbalConsumerPartnerEducation,0)</f>
        <v>6</v>
      </c>
      <c r="F43" s="442">
        <f>IF(xxNumOfTeams&gt;1,cbalCommercialPartnerEducation+cbalConsumerPartnerEducation,0)</f>
        <v>6</v>
      </c>
      <c r="G43" s="442">
        <f>IF(xxNumOfTeams&gt;2,cbalCommercialPartnerEducation+cbalConsumerPartnerEducation,0)</f>
        <v>6</v>
      </c>
      <c r="H43" s="442">
        <f>IF(xxNumOfTeams&gt;3,cbalCommercialPartnerEducation+cbalConsumerPartnerEducation,0)</f>
        <v>6</v>
      </c>
      <c r="I43" s="442">
        <f>IF(xxNumOfTeams&gt;4,cbalCommercialPartnerEducation+cbalConsumerPartnerEducation,0)</f>
        <v>6</v>
      </c>
      <c r="J43" s="442">
        <f>IF(xxNumOfTeams&gt;5,cbalCommercialPartnerEducation+cbalConsumerPartnerEducation,0)</f>
        <v>6</v>
      </c>
      <c r="K43" s="442">
        <f>IF(xxNumOfTeams&gt;6,cbalCommercialPartnerEducation+cbalConsumerPartnerEducation,0)</f>
        <v>6</v>
      </c>
      <c r="L43" s="442">
        <f>IF(xxNumOfTeams&gt;7,cbalCommercialPartnerEducation+cbalConsumerPartnerEducation,0)</f>
        <v>6</v>
      </c>
      <c r="M43" s="442">
        <f>IF(xxNumOfTeams&gt;8,cbalCommercialPartnerEducation+cbalConsumerPartnerEducation,0)</f>
        <v>6</v>
      </c>
      <c r="N43" s="442">
        <f>IF(xxNumOfTeams&gt;9,cbalCommercialPartnerEducation+cbalConsumerPartnerEducation,0)</f>
        <v>6</v>
      </c>
      <c r="P43" s="441">
        <v>1</v>
      </c>
      <c r="R43" s="445">
        <v>-3</v>
      </c>
      <c r="S43" s="433"/>
      <c r="T43" s="433"/>
      <c r="U43" s="433"/>
      <c r="V43" s="433"/>
      <c r="W43" s="438"/>
      <c r="Y43" s="437"/>
      <c r="Z43" s="433"/>
      <c r="AA43" s="438"/>
      <c r="AC43" s="437" t="s">
        <v>947</v>
      </c>
      <c r="AD43" s="436">
        <v>-0.3</v>
      </c>
      <c r="AE43" s="435">
        <v>2</v>
      </c>
    </row>
    <row r="44" spans="3:33" s="147" customFormat="1">
      <c r="D44" s="147" t="s">
        <v>946</v>
      </c>
      <c r="E44" s="440">
        <f t="shared" ref="E44:N44" si="4">((cbalCommercialPartnerEducation+cbalConsumerPartnerEducation)-(obalCommercialPartnerEducation+obalConsumerPartnerEducation))*$R44</f>
        <v>0</v>
      </c>
      <c r="F44" s="439">
        <f t="shared" si="4"/>
        <v>0</v>
      </c>
      <c r="G44" s="439">
        <f t="shared" si="4"/>
        <v>0</v>
      </c>
      <c r="H44" s="439">
        <f t="shared" si="4"/>
        <v>0</v>
      </c>
      <c r="I44" s="439">
        <f t="shared" si="4"/>
        <v>0</v>
      </c>
      <c r="J44" s="439">
        <f t="shared" si="4"/>
        <v>0</v>
      </c>
      <c r="K44" s="439">
        <f t="shared" si="4"/>
        <v>0</v>
      </c>
      <c r="L44" s="439">
        <f t="shared" si="4"/>
        <v>0</v>
      </c>
      <c r="M44" s="439">
        <f t="shared" si="4"/>
        <v>0</v>
      </c>
      <c r="N44" s="439">
        <f t="shared" si="4"/>
        <v>0</v>
      </c>
      <c r="O44" s="428"/>
      <c r="R44" s="934">
        <v>0.05</v>
      </c>
      <c r="S44" s="433"/>
      <c r="T44" s="433"/>
      <c r="U44" s="433"/>
      <c r="V44" s="433"/>
      <c r="W44" s="438"/>
      <c r="Y44" s="437"/>
      <c r="Z44" s="433"/>
      <c r="AA44" s="438"/>
      <c r="AC44" s="437"/>
      <c r="AD44" s="436"/>
      <c r="AE44" s="435"/>
      <c r="AF44" s="434"/>
      <c r="AG44" s="434"/>
    </row>
    <row r="45" spans="3:33" s="147" customFormat="1">
      <c r="E45" s="433"/>
      <c r="F45" s="433"/>
      <c r="G45" s="433"/>
      <c r="H45" s="433"/>
      <c r="I45" s="433"/>
      <c r="J45" s="433"/>
      <c r="K45" s="433"/>
      <c r="L45" s="433"/>
      <c r="M45" s="433"/>
      <c r="N45" s="433"/>
      <c r="R45" s="437"/>
      <c r="S45" s="433"/>
      <c r="T45" s="433"/>
      <c r="U45" s="433"/>
      <c r="V45" s="433"/>
      <c r="W45" s="438"/>
      <c r="Y45" s="437"/>
      <c r="Z45" s="433"/>
      <c r="AA45" s="438"/>
      <c r="AC45" s="437"/>
      <c r="AD45" s="433"/>
      <c r="AE45" s="438"/>
    </row>
    <row r="46" spans="3:33" s="147" customFormat="1">
      <c r="C46" s="153" t="s">
        <v>426</v>
      </c>
      <c r="D46" s="147" t="s">
        <v>952</v>
      </c>
      <c r="E46" s="453">
        <v>5</v>
      </c>
      <c r="F46" s="452">
        <v>5</v>
      </c>
      <c r="G46" s="452">
        <v>5</v>
      </c>
      <c r="H46" s="452">
        <v>5</v>
      </c>
      <c r="I46" s="452">
        <v>5</v>
      </c>
      <c r="J46" s="452">
        <v>5</v>
      </c>
      <c r="K46" s="452">
        <v>5</v>
      </c>
      <c r="L46" s="452">
        <v>5</v>
      </c>
      <c r="M46" s="452">
        <v>5</v>
      </c>
      <c r="N46" s="452">
        <v>5</v>
      </c>
      <c r="P46" s="935" t="str">
        <f>IF(xxSim0Tool1=1,"Non-Linear","Relative")</f>
        <v>Non-Linear</v>
      </c>
      <c r="R46" s="449" t="s">
        <v>784</v>
      </c>
      <c r="S46" s="448" t="s">
        <v>783</v>
      </c>
      <c r="T46" s="448" t="s">
        <v>782</v>
      </c>
      <c r="U46" s="448" t="s">
        <v>781</v>
      </c>
      <c r="V46" s="448" t="s">
        <v>780</v>
      </c>
      <c r="W46" s="450" t="s">
        <v>779</v>
      </c>
      <c r="Y46" s="449" t="s">
        <v>951</v>
      </c>
      <c r="Z46" s="448" t="s">
        <v>114</v>
      </c>
      <c r="AA46" s="438"/>
      <c r="AC46" s="437"/>
      <c r="AD46" s="433" t="s">
        <v>951</v>
      </c>
      <c r="AE46" s="438" t="s">
        <v>114</v>
      </c>
    </row>
    <row r="47" spans="3:33" s="147" customFormat="1">
      <c r="D47" s="147" t="s">
        <v>950</v>
      </c>
      <c r="E47" s="443">
        <v>3</v>
      </c>
      <c r="F47" s="442">
        <v>3</v>
      </c>
      <c r="G47" s="442">
        <v>3</v>
      </c>
      <c r="H47" s="442">
        <v>3</v>
      </c>
      <c r="I47" s="442">
        <v>3</v>
      </c>
      <c r="J47" s="442">
        <v>3</v>
      </c>
      <c r="K47" s="442">
        <v>3</v>
      </c>
      <c r="L47" s="442">
        <v>3</v>
      </c>
      <c r="M47" s="442">
        <v>3</v>
      </c>
      <c r="N47" s="442">
        <v>3</v>
      </c>
      <c r="P47" s="447" t="s">
        <v>191</v>
      </c>
      <c r="R47" s="445">
        <v>-3</v>
      </c>
      <c r="S47" s="436">
        <v>-1</v>
      </c>
      <c r="T47" s="436">
        <v>-0.5</v>
      </c>
      <c r="U47" s="436">
        <v>0</v>
      </c>
      <c r="V47" s="436">
        <v>1</v>
      </c>
      <c r="W47" s="446">
        <v>3</v>
      </c>
      <c r="Y47" s="445">
        <v>10</v>
      </c>
      <c r="Z47" s="444">
        <v>1</v>
      </c>
      <c r="AA47" s="438"/>
      <c r="AC47" s="437" t="s">
        <v>949</v>
      </c>
      <c r="AD47" s="436">
        <v>2</v>
      </c>
      <c r="AE47" s="435">
        <v>1</v>
      </c>
    </row>
    <row r="48" spans="3:33" s="147" customFormat="1">
      <c r="D48" s="147" t="s">
        <v>948</v>
      </c>
      <c r="E48" s="443">
        <f>IF(xxNumOfTeams&gt;0,cbalCommercialPartnerIncentives+cbalConsumerPartnerIncentives,0)</f>
        <v>8</v>
      </c>
      <c r="F48" s="442">
        <f>IF(xxNumOfTeams&gt;1,cbalCommercialPartnerIncentives+cbalConsumerPartnerIncentives,0)</f>
        <v>8</v>
      </c>
      <c r="G48" s="442">
        <f>IF(xxNumOfTeams&gt;2,cbalCommercialPartnerIncentives+cbalConsumerPartnerIncentives,0)</f>
        <v>8</v>
      </c>
      <c r="H48" s="442">
        <f>IF(xxNumOfTeams&gt;3,cbalCommercialPartnerIncentives+cbalConsumerPartnerIncentives,0)</f>
        <v>8</v>
      </c>
      <c r="I48" s="442">
        <f>IF(xxNumOfTeams&gt;4,cbalCommercialPartnerIncentives+cbalConsumerPartnerIncentives,0)</f>
        <v>8</v>
      </c>
      <c r="J48" s="442">
        <f>IF(xxNumOfTeams&gt;5,cbalCommercialPartnerIncentives+cbalConsumerPartnerIncentives,0)</f>
        <v>8</v>
      </c>
      <c r="K48" s="442">
        <f>IF(xxNumOfTeams&gt;6,cbalCommercialPartnerIncentives+cbalConsumerPartnerIncentives,0)</f>
        <v>8</v>
      </c>
      <c r="L48" s="442">
        <f>IF(xxNumOfTeams&gt;7,cbalCommercialPartnerIncentives+cbalConsumerPartnerIncentives,0)</f>
        <v>8</v>
      </c>
      <c r="M48" s="442">
        <f>IF(xxNumOfTeams&gt;8,cbalCommercialPartnerIncentives+cbalConsumerPartnerIncentives,0)</f>
        <v>8</v>
      </c>
      <c r="N48" s="442">
        <f>IF(xxNumOfTeams&gt;9,cbalCommercialPartnerIncentives+cbalConsumerPartnerIncentives,0)</f>
        <v>8</v>
      </c>
      <c r="P48" s="441">
        <v>1</v>
      </c>
      <c r="R48" s="437"/>
      <c r="S48" s="433"/>
      <c r="T48" s="433"/>
      <c r="U48" s="433"/>
      <c r="V48" s="433"/>
      <c r="W48" s="438"/>
      <c r="Y48" s="437"/>
      <c r="Z48" s="433"/>
      <c r="AA48" s="438"/>
      <c r="AC48" s="437" t="s">
        <v>947</v>
      </c>
      <c r="AD48" s="436">
        <v>-0.3</v>
      </c>
      <c r="AE48" s="435">
        <v>2</v>
      </c>
    </row>
    <row r="49" spans="3:33" s="147" customFormat="1">
      <c r="D49" s="147" t="s">
        <v>946</v>
      </c>
      <c r="E49" s="440">
        <f t="shared" ref="E49:N49" si="5">((cbalCommercialPartnerIncentives+cbalConsumerPartnerIncentives)-(obalCommercialPartnerIncentives+obalConsumerPartnerIncentives))*$R49</f>
        <v>0</v>
      </c>
      <c r="F49" s="439">
        <f t="shared" si="5"/>
        <v>0</v>
      </c>
      <c r="G49" s="439">
        <f t="shared" si="5"/>
        <v>0</v>
      </c>
      <c r="H49" s="439">
        <f t="shared" si="5"/>
        <v>0</v>
      </c>
      <c r="I49" s="439">
        <f t="shared" si="5"/>
        <v>0</v>
      </c>
      <c r="J49" s="439">
        <f t="shared" si="5"/>
        <v>0</v>
      </c>
      <c r="K49" s="439">
        <f t="shared" si="5"/>
        <v>0</v>
      </c>
      <c r="L49" s="439">
        <f t="shared" si="5"/>
        <v>0</v>
      </c>
      <c r="M49" s="439">
        <f t="shared" si="5"/>
        <v>0</v>
      </c>
      <c r="N49" s="439">
        <f t="shared" si="5"/>
        <v>0</v>
      </c>
      <c r="R49" s="934">
        <v>0.05</v>
      </c>
      <c r="S49" s="433"/>
      <c r="T49" s="433"/>
      <c r="U49" s="433"/>
      <c r="V49" s="433"/>
      <c r="W49" s="438"/>
      <c r="Y49" s="437"/>
      <c r="Z49" s="433"/>
      <c r="AA49" s="438"/>
      <c r="AC49" s="437"/>
      <c r="AD49" s="436"/>
      <c r="AE49" s="435"/>
      <c r="AF49" s="434"/>
      <c r="AG49" s="434"/>
    </row>
    <row r="50" spans="3:33" s="147" customFormat="1">
      <c r="E50" s="433"/>
      <c r="F50" s="433"/>
      <c r="G50" s="433"/>
      <c r="H50" s="433"/>
      <c r="I50" s="433"/>
      <c r="J50" s="433"/>
      <c r="K50" s="433"/>
      <c r="L50" s="433"/>
      <c r="M50" s="433"/>
      <c r="N50" s="433"/>
      <c r="R50" s="437"/>
      <c r="S50" s="433"/>
      <c r="T50" s="433"/>
      <c r="U50" s="433"/>
      <c r="V50" s="433"/>
      <c r="W50" s="438"/>
      <c r="Y50" s="437"/>
      <c r="Z50" s="433"/>
      <c r="AA50" s="438"/>
      <c r="AC50" s="437"/>
      <c r="AD50" s="433"/>
      <c r="AE50" s="438"/>
    </row>
    <row r="51" spans="3:33" s="147" customFormat="1">
      <c r="C51" s="700" t="s">
        <v>1686</v>
      </c>
      <c r="D51" s="147" t="s">
        <v>952</v>
      </c>
      <c r="E51" s="453">
        <v>5</v>
      </c>
      <c r="F51" s="452">
        <v>5</v>
      </c>
      <c r="G51" s="452">
        <v>5</v>
      </c>
      <c r="H51" s="452">
        <v>5</v>
      </c>
      <c r="I51" s="452">
        <v>5</v>
      </c>
      <c r="J51" s="452">
        <v>5</v>
      </c>
      <c r="K51" s="452">
        <v>5</v>
      </c>
      <c r="L51" s="452">
        <v>5</v>
      </c>
      <c r="M51" s="452">
        <v>5</v>
      </c>
      <c r="N51" s="452">
        <v>5</v>
      </c>
      <c r="P51" s="451" t="s">
        <v>959</v>
      </c>
      <c r="R51" s="449" t="s">
        <v>784</v>
      </c>
      <c r="S51" s="448" t="s">
        <v>783</v>
      </c>
      <c r="T51" s="448" t="s">
        <v>782</v>
      </c>
      <c r="U51" s="448" t="s">
        <v>781</v>
      </c>
      <c r="V51" s="448" t="s">
        <v>780</v>
      </c>
      <c r="W51" s="450" t="s">
        <v>779</v>
      </c>
      <c r="Y51" s="449" t="s">
        <v>951</v>
      </c>
      <c r="Z51" s="448" t="s">
        <v>114</v>
      </c>
      <c r="AA51" s="438"/>
      <c r="AC51" s="437"/>
      <c r="AD51" s="433" t="s">
        <v>951</v>
      </c>
      <c r="AE51" s="438" t="s">
        <v>114</v>
      </c>
    </row>
    <row r="52" spans="3:33" s="147" customFormat="1">
      <c r="D52" s="147" t="s">
        <v>950</v>
      </c>
      <c r="E52" s="443">
        <v>3</v>
      </c>
      <c r="F52" s="442">
        <v>3</v>
      </c>
      <c r="G52" s="442">
        <v>3</v>
      </c>
      <c r="H52" s="442">
        <v>3</v>
      </c>
      <c r="I52" s="442">
        <v>3</v>
      </c>
      <c r="J52" s="442">
        <v>3</v>
      </c>
      <c r="K52" s="442">
        <v>3</v>
      </c>
      <c r="L52" s="442">
        <v>3</v>
      </c>
      <c r="M52" s="442">
        <v>3</v>
      </c>
      <c r="N52" s="442">
        <v>3</v>
      </c>
      <c r="P52" s="447" t="s">
        <v>191</v>
      </c>
      <c r="R52" s="445">
        <v>-3</v>
      </c>
      <c r="S52" s="436">
        <v>-1</v>
      </c>
      <c r="T52" s="436">
        <v>-0.5</v>
      </c>
      <c r="U52" s="436">
        <v>0</v>
      </c>
      <c r="V52" s="436">
        <v>1</v>
      </c>
      <c r="W52" s="446">
        <v>3</v>
      </c>
      <c r="Y52" s="445">
        <v>2</v>
      </c>
      <c r="Z52" s="444">
        <v>1</v>
      </c>
      <c r="AA52" s="438"/>
      <c r="AC52" s="437" t="s">
        <v>949</v>
      </c>
      <c r="AD52" s="436">
        <v>2</v>
      </c>
      <c r="AE52" s="435">
        <v>1</v>
      </c>
    </row>
    <row r="53" spans="3:33" s="147" customFormat="1">
      <c r="D53" s="147" t="s">
        <v>948</v>
      </c>
      <c r="E53" s="443">
        <f t="shared" ref="E53:N53" si="6">E52+E51</f>
        <v>8</v>
      </c>
      <c r="F53" s="442">
        <f t="shared" si="6"/>
        <v>8</v>
      </c>
      <c r="G53" s="442">
        <f t="shared" si="6"/>
        <v>8</v>
      </c>
      <c r="H53" s="442">
        <f t="shared" si="6"/>
        <v>8</v>
      </c>
      <c r="I53" s="442">
        <f t="shared" si="6"/>
        <v>8</v>
      </c>
      <c r="J53" s="442">
        <f t="shared" si="6"/>
        <v>8</v>
      </c>
      <c r="K53" s="442">
        <f t="shared" si="6"/>
        <v>8</v>
      </c>
      <c r="L53" s="442">
        <f t="shared" si="6"/>
        <v>8</v>
      </c>
      <c r="M53" s="442">
        <f t="shared" si="6"/>
        <v>8</v>
      </c>
      <c r="N53" s="442">
        <f t="shared" si="6"/>
        <v>8</v>
      </c>
      <c r="P53" s="441">
        <v>1</v>
      </c>
      <c r="R53" s="437"/>
      <c r="S53" s="433"/>
      <c r="T53" s="433"/>
      <c r="U53" s="433"/>
      <c r="V53" s="433"/>
      <c r="W53" s="438"/>
      <c r="Y53" s="437"/>
      <c r="Z53" s="433"/>
      <c r="AA53" s="438"/>
      <c r="AC53" s="437" t="s">
        <v>947</v>
      </c>
      <c r="AD53" s="436">
        <v>-0.3</v>
      </c>
      <c r="AE53" s="435">
        <v>2</v>
      </c>
    </row>
    <row r="54" spans="3:33" s="147" customFormat="1">
      <c r="D54" s="147" t="s">
        <v>946</v>
      </c>
      <c r="E54" s="440">
        <f>((cbalCustSuccess-obalCustSuccess)*$R54)</f>
        <v>-2.021250000000002</v>
      </c>
      <c r="F54" s="439">
        <f t="shared" ref="F54:N54" si="7">((cbalCustSuccess-obalCustSuccess)*$R54)</f>
        <v>-2.021250000000002</v>
      </c>
      <c r="G54" s="439">
        <f t="shared" si="7"/>
        <v>-2.021250000000002</v>
      </c>
      <c r="H54" s="439">
        <f t="shared" si="7"/>
        <v>-2.021250000000002</v>
      </c>
      <c r="I54" s="439">
        <f t="shared" si="7"/>
        <v>-2.021250000000002</v>
      </c>
      <c r="J54" s="439">
        <f t="shared" si="7"/>
        <v>-2.021250000000002</v>
      </c>
      <c r="K54" s="439">
        <f t="shared" si="7"/>
        <v>-2.021250000000002</v>
      </c>
      <c r="L54" s="439">
        <f t="shared" si="7"/>
        <v>-2.021250000000002</v>
      </c>
      <c r="M54" s="439">
        <f t="shared" si="7"/>
        <v>-2.021250000000002</v>
      </c>
      <c r="N54" s="439">
        <f t="shared" si="7"/>
        <v>-2.021250000000002</v>
      </c>
      <c r="R54" s="934">
        <v>0.5</v>
      </c>
      <c r="S54" s="433"/>
      <c r="T54" s="433"/>
      <c r="U54" s="433"/>
      <c r="V54" s="433"/>
      <c r="W54" s="438"/>
      <c r="Y54" s="437"/>
      <c r="Z54" s="433"/>
      <c r="AA54" s="438"/>
      <c r="AC54" s="437"/>
      <c r="AD54" s="436"/>
      <c r="AE54" s="435"/>
      <c r="AF54" s="434"/>
      <c r="AG54" s="434"/>
    </row>
    <row r="55" spans="3:33" s="147" customFormat="1">
      <c r="E55" s="433"/>
      <c r="F55" s="433"/>
      <c r="G55" s="433"/>
      <c r="H55" s="433"/>
      <c r="I55" s="433"/>
      <c r="J55" s="433"/>
      <c r="K55" s="433"/>
      <c r="L55" s="433"/>
      <c r="M55" s="433"/>
      <c r="N55" s="433"/>
      <c r="R55" s="437"/>
      <c r="S55" s="433"/>
      <c r="T55" s="433"/>
      <c r="U55" s="433"/>
      <c r="V55" s="433"/>
      <c r="W55" s="438"/>
      <c r="Y55" s="437"/>
      <c r="Z55" s="433"/>
      <c r="AA55" s="438"/>
      <c r="AC55" s="437"/>
      <c r="AD55" s="433"/>
      <c r="AE55" s="438"/>
    </row>
    <row r="56" spans="3:33" s="147" customFormat="1">
      <c r="C56" s="700" t="s">
        <v>3271</v>
      </c>
      <c r="D56" s="147" t="s">
        <v>952</v>
      </c>
      <c r="E56" s="453">
        <v>5</v>
      </c>
      <c r="F56" s="452">
        <v>5</v>
      </c>
      <c r="G56" s="452">
        <v>5</v>
      </c>
      <c r="H56" s="452">
        <v>5</v>
      </c>
      <c r="I56" s="452">
        <v>5</v>
      </c>
      <c r="J56" s="452">
        <v>5</v>
      </c>
      <c r="K56" s="452">
        <v>5</v>
      </c>
      <c r="L56" s="452">
        <v>5</v>
      </c>
      <c r="M56" s="452">
        <v>5</v>
      </c>
      <c r="N56" s="452">
        <v>5</v>
      </c>
      <c r="P56" s="451" t="s">
        <v>959</v>
      </c>
      <c r="R56" s="449" t="s">
        <v>784</v>
      </c>
      <c r="S56" s="448" t="s">
        <v>783</v>
      </c>
      <c r="T56" s="448" t="s">
        <v>782</v>
      </c>
      <c r="U56" s="448" t="s">
        <v>781</v>
      </c>
      <c r="V56" s="448" t="s">
        <v>780</v>
      </c>
      <c r="W56" s="450" t="s">
        <v>779</v>
      </c>
      <c r="Y56" s="449" t="s">
        <v>951</v>
      </c>
      <c r="Z56" s="448" t="s">
        <v>114</v>
      </c>
      <c r="AA56" s="438"/>
      <c r="AC56" s="437"/>
      <c r="AD56" s="433" t="s">
        <v>951</v>
      </c>
      <c r="AE56" s="438" t="s">
        <v>114</v>
      </c>
    </row>
    <row r="57" spans="3:33" s="147" customFormat="1">
      <c r="D57" s="147" t="s">
        <v>950</v>
      </c>
      <c r="E57" s="443">
        <v>3</v>
      </c>
      <c r="F57" s="442">
        <v>3</v>
      </c>
      <c r="G57" s="442">
        <v>3</v>
      </c>
      <c r="H57" s="442">
        <v>3</v>
      </c>
      <c r="I57" s="442">
        <v>3</v>
      </c>
      <c r="J57" s="442">
        <v>3</v>
      </c>
      <c r="K57" s="442">
        <v>3</v>
      </c>
      <c r="L57" s="442">
        <v>3</v>
      </c>
      <c r="M57" s="442">
        <v>3</v>
      </c>
      <c r="N57" s="442">
        <v>3</v>
      </c>
      <c r="P57" s="447" t="s">
        <v>191</v>
      </c>
      <c r="R57" s="445">
        <v>-3</v>
      </c>
      <c r="S57" s="436">
        <v>-1</v>
      </c>
      <c r="T57" s="436">
        <v>-0.5</v>
      </c>
      <c r="U57" s="436">
        <v>0</v>
      </c>
      <c r="V57" s="436">
        <v>1</v>
      </c>
      <c r="W57" s="446">
        <v>3</v>
      </c>
      <c r="Y57" s="445">
        <v>2</v>
      </c>
      <c r="Z57" s="444">
        <v>1</v>
      </c>
      <c r="AA57" s="438"/>
      <c r="AC57" s="437" t="s">
        <v>949</v>
      </c>
      <c r="AD57" s="436">
        <v>2</v>
      </c>
      <c r="AE57" s="435">
        <v>1</v>
      </c>
    </row>
    <row r="58" spans="3:33" s="147" customFormat="1">
      <c r="D58" s="147" t="s">
        <v>948</v>
      </c>
      <c r="E58" s="443">
        <f t="shared" ref="E58:N58" si="8">E57+E56</f>
        <v>8</v>
      </c>
      <c r="F58" s="442">
        <f t="shared" si="8"/>
        <v>8</v>
      </c>
      <c r="G58" s="442">
        <f t="shared" si="8"/>
        <v>8</v>
      </c>
      <c r="H58" s="442">
        <f t="shared" si="8"/>
        <v>8</v>
      </c>
      <c r="I58" s="442">
        <f t="shared" si="8"/>
        <v>8</v>
      </c>
      <c r="J58" s="442">
        <f t="shared" si="8"/>
        <v>8</v>
      </c>
      <c r="K58" s="442">
        <f t="shared" si="8"/>
        <v>8</v>
      </c>
      <c r="L58" s="442">
        <f t="shared" si="8"/>
        <v>8</v>
      </c>
      <c r="M58" s="442">
        <f t="shared" si="8"/>
        <v>8</v>
      </c>
      <c r="N58" s="442">
        <f t="shared" si="8"/>
        <v>8</v>
      </c>
      <c r="P58" s="441">
        <v>1</v>
      </c>
      <c r="R58" s="437"/>
      <c r="S58" s="433"/>
      <c r="T58" s="433"/>
      <c r="U58" s="433"/>
      <c r="V58" s="433"/>
      <c r="W58" s="438"/>
      <c r="Y58" s="437"/>
      <c r="Z58" s="433"/>
      <c r="AA58" s="438"/>
      <c r="AC58" s="437" t="s">
        <v>947</v>
      </c>
      <c r="AD58" s="436">
        <v>-0.3</v>
      </c>
      <c r="AE58" s="435">
        <v>2</v>
      </c>
    </row>
    <row r="59" spans="3:33" s="147" customFormat="1">
      <c r="D59" s="147" t="s">
        <v>946</v>
      </c>
      <c r="E59" s="440">
        <f t="shared" ref="E59:N59" si="9">((cbalOpsITFTEs-obalOpsITFTEs)*$R59)</f>
        <v>0</v>
      </c>
      <c r="F59" s="439">
        <f t="shared" si="9"/>
        <v>0</v>
      </c>
      <c r="G59" s="439">
        <f t="shared" si="9"/>
        <v>0</v>
      </c>
      <c r="H59" s="439">
        <f t="shared" si="9"/>
        <v>0</v>
      </c>
      <c r="I59" s="439">
        <f t="shared" si="9"/>
        <v>0</v>
      </c>
      <c r="J59" s="439">
        <f t="shared" si="9"/>
        <v>0</v>
      </c>
      <c r="K59" s="439">
        <f t="shared" si="9"/>
        <v>0</v>
      </c>
      <c r="L59" s="439">
        <f t="shared" si="9"/>
        <v>0</v>
      </c>
      <c r="M59" s="439">
        <f t="shared" si="9"/>
        <v>0</v>
      </c>
      <c r="N59" s="439">
        <f t="shared" si="9"/>
        <v>0</v>
      </c>
      <c r="R59" s="934">
        <v>0.01</v>
      </c>
      <c r="S59" s="433"/>
      <c r="T59" s="433"/>
      <c r="U59" s="433"/>
      <c r="V59" s="433"/>
      <c r="W59" s="438"/>
      <c r="Y59" s="437"/>
      <c r="Z59" s="433"/>
      <c r="AA59" s="438"/>
      <c r="AC59" s="437"/>
      <c r="AD59" s="436"/>
      <c r="AE59" s="435"/>
      <c r="AF59" s="434"/>
      <c r="AG59" s="434"/>
    </row>
    <row r="60" spans="3:33" s="147" customFormat="1">
      <c r="E60" s="433"/>
      <c r="F60" s="433"/>
      <c r="G60" s="433"/>
      <c r="H60" s="433"/>
      <c r="I60" s="433"/>
      <c r="J60" s="433"/>
      <c r="K60" s="433"/>
      <c r="L60" s="433"/>
      <c r="M60" s="433"/>
      <c r="N60" s="433"/>
      <c r="R60" s="437"/>
      <c r="S60" s="433"/>
      <c r="T60" s="433"/>
      <c r="U60" s="433"/>
      <c r="V60" s="433"/>
      <c r="W60" s="438"/>
      <c r="Y60" s="437"/>
      <c r="Z60" s="433"/>
      <c r="AA60" s="438"/>
      <c r="AC60" s="437"/>
      <c r="AD60" s="433"/>
      <c r="AE60" s="438"/>
    </row>
    <row r="61" spans="3:33" s="147" customFormat="1">
      <c r="C61" s="700" t="s">
        <v>3209</v>
      </c>
      <c r="D61" s="147" t="s">
        <v>952</v>
      </c>
      <c r="E61" s="453">
        <v>5</v>
      </c>
      <c r="F61" s="452">
        <v>5</v>
      </c>
      <c r="G61" s="452">
        <v>5</v>
      </c>
      <c r="H61" s="452">
        <v>5</v>
      </c>
      <c r="I61" s="452">
        <v>5</v>
      </c>
      <c r="J61" s="452">
        <v>5</v>
      </c>
      <c r="K61" s="452">
        <v>5</v>
      </c>
      <c r="L61" s="452">
        <v>5</v>
      </c>
      <c r="M61" s="452">
        <v>5</v>
      </c>
      <c r="N61" s="452">
        <v>5</v>
      </c>
      <c r="P61" s="451" t="s">
        <v>959</v>
      </c>
      <c r="R61" s="449" t="s">
        <v>784</v>
      </c>
      <c r="S61" s="448" t="s">
        <v>783</v>
      </c>
      <c r="T61" s="448" t="s">
        <v>782</v>
      </c>
      <c r="U61" s="448" t="s">
        <v>781</v>
      </c>
      <c r="V61" s="448" t="s">
        <v>780</v>
      </c>
      <c r="W61" s="450" t="s">
        <v>779</v>
      </c>
      <c r="Y61" s="449" t="s">
        <v>951</v>
      </c>
      <c r="Z61" s="448" t="s">
        <v>114</v>
      </c>
      <c r="AA61" s="438"/>
      <c r="AC61" s="437"/>
      <c r="AD61" s="433" t="s">
        <v>951</v>
      </c>
      <c r="AE61" s="438" t="s">
        <v>114</v>
      </c>
    </row>
    <row r="62" spans="3:33" s="147" customFormat="1">
      <c r="D62" s="147" t="s">
        <v>950</v>
      </c>
      <c r="E62" s="443">
        <v>3</v>
      </c>
      <c r="F62" s="442">
        <v>3</v>
      </c>
      <c r="G62" s="442">
        <v>3</v>
      </c>
      <c r="H62" s="442">
        <v>3</v>
      </c>
      <c r="I62" s="442">
        <v>3</v>
      </c>
      <c r="J62" s="442">
        <v>3</v>
      </c>
      <c r="K62" s="442">
        <v>3</v>
      </c>
      <c r="L62" s="442">
        <v>3</v>
      </c>
      <c r="M62" s="442">
        <v>3</v>
      </c>
      <c r="N62" s="442">
        <v>3</v>
      </c>
      <c r="P62" s="447" t="s">
        <v>191</v>
      </c>
      <c r="R62" s="445">
        <v>-3</v>
      </c>
      <c r="S62" s="436">
        <v>-1</v>
      </c>
      <c r="T62" s="436">
        <v>-0.5</v>
      </c>
      <c r="U62" s="436">
        <v>0</v>
      </c>
      <c r="V62" s="436">
        <v>1</v>
      </c>
      <c r="W62" s="446">
        <v>3</v>
      </c>
      <c r="Y62" s="445">
        <v>2</v>
      </c>
      <c r="Z62" s="444">
        <v>1</v>
      </c>
      <c r="AA62" s="438"/>
      <c r="AC62" s="437" t="s">
        <v>949</v>
      </c>
      <c r="AD62" s="436">
        <v>2</v>
      </c>
      <c r="AE62" s="435">
        <v>1</v>
      </c>
    </row>
    <row r="63" spans="3:33" s="147" customFormat="1">
      <c r="D63" s="147" t="s">
        <v>948</v>
      </c>
      <c r="E63" s="443">
        <f t="shared" ref="E63:N63" si="10">E62+E61</f>
        <v>8</v>
      </c>
      <c r="F63" s="442">
        <f t="shared" si="10"/>
        <v>8</v>
      </c>
      <c r="G63" s="442">
        <f t="shared" si="10"/>
        <v>8</v>
      </c>
      <c r="H63" s="442">
        <f t="shared" si="10"/>
        <v>8</v>
      </c>
      <c r="I63" s="442">
        <f t="shared" si="10"/>
        <v>8</v>
      </c>
      <c r="J63" s="442">
        <f t="shared" si="10"/>
        <v>8</v>
      </c>
      <c r="K63" s="442">
        <f t="shared" si="10"/>
        <v>8</v>
      </c>
      <c r="L63" s="442">
        <f t="shared" si="10"/>
        <v>8</v>
      </c>
      <c r="M63" s="442">
        <f t="shared" si="10"/>
        <v>8</v>
      </c>
      <c r="N63" s="442">
        <f t="shared" si="10"/>
        <v>8</v>
      </c>
      <c r="P63" s="441">
        <v>1</v>
      </c>
      <c r="R63" s="437"/>
      <c r="S63" s="433"/>
      <c r="T63" s="433"/>
      <c r="U63" s="433"/>
      <c r="V63" s="433"/>
      <c r="W63" s="438"/>
      <c r="Y63" s="437"/>
      <c r="Z63" s="433"/>
      <c r="AA63" s="438"/>
      <c r="AC63" s="437" t="s">
        <v>947</v>
      </c>
      <c r="AD63" s="436">
        <v>-0.3</v>
      </c>
      <c r="AE63" s="435">
        <v>2</v>
      </c>
    </row>
    <row r="64" spans="3:33" s="147" customFormat="1">
      <c r="D64" s="147" t="s">
        <v>946</v>
      </c>
      <c r="E64" s="440">
        <f t="shared" ref="E64:N64" si="11">((cbalOpsGlobalDemandCenterFTEs-obalOpsGlobalDemandCenterFTEs)*$R64)</f>
        <v>0</v>
      </c>
      <c r="F64" s="439">
        <f t="shared" si="11"/>
        <v>0</v>
      </c>
      <c r="G64" s="439">
        <f t="shared" si="11"/>
        <v>0</v>
      </c>
      <c r="H64" s="439">
        <f t="shared" si="11"/>
        <v>0</v>
      </c>
      <c r="I64" s="439">
        <f t="shared" si="11"/>
        <v>0</v>
      </c>
      <c r="J64" s="439">
        <f t="shared" si="11"/>
        <v>0</v>
      </c>
      <c r="K64" s="439">
        <f t="shared" si="11"/>
        <v>0</v>
      </c>
      <c r="L64" s="439">
        <f t="shared" si="11"/>
        <v>0</v>
      </c>
      <c r="M64" s="439">
        <f t="shared" si="11"/>
        <v>0</v>
      </c>
      <c r="N64" s="439">
        <f t="shared" si="11"/>
        <v>0</v>
      </c>
      <c r="R64" s="934">
        <v>0.02</v>
      </c>
      <c r="S64" s="433"/>
      <c r="T64" s="433"/>
      <c r="U64" s="433"/>
      <c r="V64" s="433"/>
      <c r="W64" s="438"/>
      <c r="Y64" s="437"/>
      <c r="Z64" s="433"/>
      <c r="AA64" s="438"/>
      <c r="AC64" s="437"/>
      <c r="AD64" s="436"/>
      <c r="AE64" s="435"/>
      <c r="AF64" s="434"/>
      <c r="AG64" s="434"/>
    </row>
    <row r="65" spans="3:33" s="147" customFormat="1">
      <c r="E65" s="433"/>
      <c r="F65" s="433"/>
      <c r="G65" s="433"/>
      <c r="H65" s="433"/>
      <c r="I65" s="433"/>
      <c r="J65" s="433"/>
      <c r="K65" s="433"/>
      <c r="L65" s="433"/>
      <c r="M65" s="433"/>
      <c r="N65" s="433"/>
      <c r="P65" s="433"/>
      <c r="R65" s="437"/>
      <c r="S65" s="433"/>
      <c r="T65" s="433"/>
      <c r="U65" s="433"/>
      <c r="V65" s="433"/>
      <c r="W65" s="438"/>
      <c r="Y65" s="437"/>
      <c r="Z65" s="433"/>
      <c r="AA65" s="438"/>
      <c r="AC65" s="437"/>
      <c r="AD65" s="433"/>
      <c r="AE65" s="438"/>
    </row>
    <row r="66" spans="3:33" s="147" customFormat="1">
      <c r="C66" s="153" t="s">
        <v>955</v>
      </c>
      <c r="D66" s="147" t="s">
        <v>952</v>
      </c>
      <c r="E66" s="453">
        <v>5</v>
      </c>
      <c r="F66" s="452">
        <v>5</v>
      </c>
      <c r="G66" s="452">
        <v>5</v>
      </c>
      <c r="H66" s="452">
        <v>5</v>
      </c>
      <c r="I66" s="452">
        <v>5</v>
      </c>
      <c r="J66" s="452">
        <v>5</v>
      </c>
      <c r="K66" s="452">
        <v>5</v>
      </c>
      <c r="L66" s="452">
        <v>5</v>
      </c>
      <c r="M66" s="452">
        <v>5</v>
      </c>
      <c r="N66" s="452">
        <v>5</v>
      </c>
      <c r="P66" s="451"/>
      <c r="R66" s="449" t="s">
        <v>784</v>
      </c>
      <c r="S66" s="448" t="s">
        <v>783</v>
      </c>
      <c r="T66" s="448" t="s">
        <v>782</v>
      </c>
      <c r="U66" s="448" t="s">
        <v>781</v>
      </c>
      <c r="V66" s="448" t="s">
        <v>780</v>
      </c>
      <c r="W66" s="450" t="s">
        <v>779</v>
      </c>
      <c r="Y66" s="449" t="s">
        <v>951</v>
      </c>
      <c r="Z66" s="448" t="s">
        <v>114</v>
      </c>
      <c r="AA66" s="438"/>
      <c r="AC66" s="437"/>
      <c r="AD66" s="433" t="s">
        <v>951</v>
      </c>
      <c r="AE66" s="438" t="s">
        <v>114</v>
      </c>
    </row>
    <row r="67" spans="3:33" s="147" customFormat="1">
      <c r="D67" s="147" t="s">
        <v>950</v>
      </c>
      <c r="E67" s="443">
        <v>3</v>
      </c>
      <c r="F67" s="442">
        <v>3</v>
      </c>
      <c r="G67" s="442">
        <v>3</v>
      </c>
      <c r="H67" s="442">
        <v>3</v>
      </c>
      <c r="I67" s="442">
        <v>3</v>
      </c>
      <c r="J67" s="442">
        <v>3</v>
      </c>
      <c r="K67" s="442">
        <v>3</v>
      </c>
      <c r="L67" s="442">
        <v>3</v>
      </c>
      <c r="M67" s="442">
        <v>3</v>
      </c>
      <c r="N67" s="442">
        <v>3</v>
      </c>
      <c r="P67" s="447" t="s">
        <v>191</v>
      </c>
      <c r="R67" s="445">
        <v>-3</v>
      </c>
      <c r="S67" s="436">
        <v>-1</v>
      </c>
      <c r="T67" s="436">
        <v>-0.5</v>
      </c>
      <c r="U67" s="436">
        <v>0</v>
      </c>
      <c r="V67" s="436">
        <v>1</v>
      </c>
      <c r="W67" s="446">
        <v>3</v>
      </c>
      <c r="Y67" s="445">
        <v>2</v>
      </c>
      <c r="Z67" s="444">
        <v>1</v>
      </c>
      <c r="AA67" s="438"/>
      <c r="AC67" s="437" t="s">
        <v>949</v>
      </c>
      <c r="AD67" s="436">
        <v>2</v>
      </c>
      <c r="AE67" s="435">
        <v>1</v>
      </c>
    </row>
    <row r="68" spans="3:33" s="147" customFormat="1">
      <c r="D68" s="147" t="s">
        <v>948</v>
      </c>
      <c r="E68" s="443">
        <f t="shared" ref="E68:N68" si="12">E67+E66</f>
        <v>8</v>
      </c>
      <c r="F68" s="442">
        <f t="shared" si="12"/>
        <v>8</v>
      </c>
      <c r="G68" s="442">
        <f t="shared" si="12"/>
        <v>8</v>
      </c>
      <c r="H68" s="442">
        <f t="shared" si="12"/>
        <v>8</v>
      </c>
      <c r="I68" s="442">
        <f t="shared" si="12"/>
        <v>8</v>
      </c>
      <c r="J68" s="442">
        <f t="shared" si="12"/>
        <v>8</v>
      </c>
      <c r="K68" s="442">
        <f t="shared" si="12"/>
        <v>8</v>
      </c>
      <c r="L68" s="442">
        <f t="shared" si="12"/>
        <v>8</v>
      </c>
      <c r="M68" s="442">
        <f t="shared" si="12"/>
        <v>8</v>
      </c>
      <c r="N68" s="442">
        <f t="shared" si="12"/>
        <v>8</v>
      </c>
      <c r="P68" s="441">
        <v>1</v>
      </c>
      <c r="R68" s="437"/>
      <c r="S68" s="433"/>
      <c r="T68" s="433"/>
      <c r="U68" s="433"/>
      <c r="V68" s="433"/>
      <c r="W68" s="438"/>
      <c r="Y68" s="437"/>
      <c r="Z68" s="433"/>
      <c r="AA68" s="438"/>
      <c r="AC68" s="437" t="s">
        <v>947</v>
      </c>
      <c r="AD68" s="436">
        <v>-0.3</v>
      </c>
      <c r="AE68" s="435">
        <v>2</v>
      </c>
    </row>
    <row r="69" spans="3:33" s="147" customFormat="1">
      <c r="D69" s="147" t="s">
        <v>946</v>
      </c>
      <c r="E69" s="440"/>
      <c r="F69" s="439"/>
      <c r="G69" s="439"/>
      <c r="H69" s="439"/>
      <c r="I69" s="439"/>
      <c r="J69" s="439"/>
      <c r="K69" s="439"/>
      <c r="L69" s="439"/>
      <c r="M69" s="439"/>
      <c r="N69" s="439"/>
      <c r="R69" s="437"/>
      <c r="S69" s="433"/>
      <c r="T69" s="433"/>
      <c r="U69" s="433"/>
      <c r="V69" s="433"/>
      <c r="W69" s="438"/>
      <c r="Y69" s="437"/>
      <c r="Z69" s="433"/>
      <c r="AA69" s="438"/>
      <c r="AC69" s="437"/>
      <c r="AD69" s="436"/>
      <c r="AE69" s="435"/>
      <c r="AF69" s="434"/>
      <c r="AG69" s="434"/>
    </row>
    <row r="70" spans="3:33" s="147" customFormat="1">
      <c r="E70" s="433"/>
      <c r="F70" s="433"/>
      <c r="G70" s="433"/>
      <c r="H70" s="433"/>
      <c r="I70" s="433"/>
      <c r="J70" s="433"/>
      <c r="K70" s="433"/>
      <c r="L70" s="433"/>
      <c r="M70" s="433"/>
      <c r="N70" s="433"/>
      <c r="P70" s="433"/>
      <c r="R70" s="437"/>
      <c r="S70" s="433"/>
      <c r="T70" s="433"/>
      <c r="U70" s="433"/>
      <c r="V70" s="433"/>
      <c r="W70" s="438"/>
      <c r="Y70" s="437"/>
      <c r="Z70" s="433"/>
      <c r="AA70" s="438"/>
      <c r="AC70" s="437"/>
      <c r="AD70" s="433"/>
      <c r="AE70" s="438"/>
    </row>
    <row r="71" spans="3:33" s="147" customFormat="1">
      <c r="C71" s="153" t="s">
        <v>954</v>
      </c>
      <c r="D71" s="147" t="s">
        <v>952</v>
      </c>
      <c r="E71" s="453">
        <v>5</v>
      </c>
      <c r="F71" s="452">
        <v>5</v>
      </c>
      <c r="G71" s="452">
        <v>5</v>
      </c>
      <c r="H71" s="452">
        <v>5</v>
      </c>
      <c r="I71" s="452">
        <v>5</v>
      </c>
      <c r="J71" s="452">
        <v>5</v>
      </c>
      <c r="K71" s="452">
        <v>5</v>
      </c>
      <c r="L71" s="452">
        <v>5</v>
      </c>
      <c r="M71" s="452">
        <v>5</v>
      </c>
      <c r="N71" s="452">
        <v>5</v>
      </c>
      <c r="P71" s="451"/>
      <c r="R71" s="449" t="s">
        <v>784</v>
      </c>
      <c r="S71" s="448" t="s">
        <v>783</v>
      </c>
      <c r="T71" s="448" t="s">
        <v>782</v>
      </c>
      <c r="U71" s="448" t="s">
        <v>781</v>
      </c>
      <c r="V71" s="448" t="s">
        <v>780</v>
      </c>
      <c r="W71" s="450" t="s">
        <v>779</v>
      </c>
      <c r="Y71" s="449" t="s">
        <v>951</v>
      </c>
      <c r="Z71" s="448" t="s">
        <v>114</v>
      </c>
      <c r="AA71" s="438"/>
      <c r="AC71" s="437"/>
      <c r="AD71" s="433" t="s">
        <v>951</v>
      </c>
      <c r="AE71" s="438" t="s">
        <v>114</v>
      </c>
    </row>
    <row r="72" spans="3:33" s="147" customFormat="1">
      <c r="D72" s="147" t="s">
        <v>950</v>
      </c>
      <c r="E72" s="443">
        <v>3</v>
      </c>
      <c r="F72" s="442">
        <v>3</v>
      </c>
      <c r="G72" s="442">
        <v>3</v>
      </c>
      <c r="H72" s="442">
        <v>3</v>
      </c>
      <c r="I72" s="442">
        <v>3</v>
      </c>
      <c r="J72" s="442">
        <v>3</v>
      </c>
      <c r="K72" s="442">
        <v>3</v>
      </c>
      <c r="L72" s="442">
        <v>3</v>
      </c>
      <c r="M72" s="442">
        <v>3</v>
      </c>
      <c r="N72" s="442">
        <v>3</v>
      </c>
      <c r="P72" s="447" t="s">
        <v>191</v>
      </c>
      <c r="R72" s="445">
        <v>-3</v>
      </c>
      <c r="S72" s="436">
        <v>-1</v>
      </c>
      <c r="T72" s="436">
        <v>-0.5</v>
      </c>
      <c r="U72" s="436">
        <v>0</v>
      </c>
      <c r="V72" s="436">
        <v>1</v>
      </c>
      <c r="W72" s="446">
        <v>3</v>
      </c>
      <c r="Y72" s="445">
        <v>2</v>
      </c>
      <c r="Z72" s="444">
        <v>1</v>
      </c>
      <c r="AA72" s="438"/>
      <c r="AC72" s="437" t="s">
        <v>949</v>
      </c>
      <c r="AD72" s="436">
        <v>2</v>
      </c>
      <c r="AE72" s="435">
        <v>1</v>
      </c>
    </row>
    <row r="73" spans="3:33" s="147" customFormat="1">
      <c r="D73" s="147" t="s">
        <v>948</v>
      </c>
      <c r="E73" s="443">
        <f t="shared" ref="E73:N73" si="13">E72+E71</f>
        <v>8</v>
      </c>
      <c r="F73" s="442">
        <f t="shared" si="13"/>
        <v>8</v>
      </c>
      <c r="G73" s="442">
        <f t="shared" si="13"/>
        <v>8</v>
      </c>
      <c r="H73" s="442">
        <f t="shared" si="13"/>
        <v>8</v>
      </c>
      <c r="I73" s="442">
        <f t="shared" si="13"/>
        <v>8</v>
      </c>
      <c r="J73" s="442">
        <f t="shared" si="13"/>
        <v>8</v>
      </c>
      <c r="K73" s="442">
        <f t="shared" si="13"/>
        <v>8</v>
      </c>
      <c r="L73" s="442">
        <f t="shared" si="13"/>
        <v>8</v>
      </c>
      <c r="M73" s="442">
        <f t="shared" si="13"/>
        <v>8</v>
      </c>
      <c r="N73" s="442">
        <f t="shared" si="13"/>
        <v>8</v>
      </c>
      <c r="P73" s="441">
        <v>1</v>
      </c>
      <c r="R73" s="437"/>
      <c r="S73" s="433"/>
      <c r="T73" s="433"/>
      <c r="U73" s="433"/>
      <c r="V73" s="433"/>
      <c r="W73" s="438"/>
      <c r="Y73" s="437"/>
      <c r="Z73" s="433"/>
      <c r="AA73" s="438"/>
      <c r="AC73" s="437" t="s">
        <v>947</v>
      </c>
      <c r="AD73" s="436">
        <v>-0.3</v>
      </c>
      <c r="AE73" s="435">
        <v>2</v>
      </c>
    </row>
    <row r="74" spans="3:33" s="147" customFormat="1">
      <c r="D74" s="147" t="s">
        <v>946</v>
      </c>
      <c r="E74" s="440"/>
      <c r="F74" s="439"/>
      <c r="G74" s="439"/>
      <c r="H74" s="439"/>
      <c r="I74" s="439"/>
      <c r="J74" s="439"/>
      <c r="K74" s="439"/>
      <c r="L74" s="439"/>
      <c r="M74" s="439"/>
      <c r="N74" s="439"/>
      <c r="R74" s="437"/>
      <c r="S74" s="433"/>
      <c r="T74" s="433"/>
      <c r="U74" s="433"/>
      <c r="V74" s="433"/>
      <c r="W74" s="438"/>
      <c r="Y74" s="437"/>
      <c r="Z74" s="433"/>
      <c r="AA74" s="438"/>
      <c r="AC74" s="437"/>
      <c r="AD74" s="436"/>
      <c r="AE74" s="435"/>
      <c r="AF74" s="434"/>
      <c r="AG74" s="434"/>
    </row>
    <row r="75" spans="3:33" s="147" customFormat="1">
      <c r="E75" s="433"/>
      <c r="F75" s="433"/>
      <c r="G75" s="433"/>
      <c r="H75" s="433"/>
      <c r="I75" s="433"/>
      <c r="J75" s="433"/>
      <c r="K75" s="433"/>
      <c r="L75" s="433"/>
      <c r="M75" s="433"/>
      <c r="N75" s="433"/>
      <c r="P75" s="433"/>
      <c r="R75" s="437"/>
      <c r="S75" s="433"/>
      <c r="T75" s="433"/>
      <c r="U75" s="433"/>
      <c r="V75" s="433"/>
      <c r="W75" s="438"/>
      <c r="Y75" s="437"/>
      <c r="Z75" s="433"/>
      <c r="AA75" s="438"/>
      <c r="AC75" s="437"/>
      <c r="AD75" s="433"/>
      <c r="AE75" s="438"/>
    </row>
    <row r="76" spans="3:33" s="147" customFormat="1">
      <c r="C76" s="153" t="s">
        <v>953</v>
      </c>
      <c r="D76" s="147" t="s">
        <v>952</v>
      </c>
      <c r="E76" s="453">
        <v>5</v>
      </c>
      <c r="F76" s="452">
        <v>5</v>
      </c>
      <c r="G76" s="452">
        <v>5</v>
      </c>
      <c r="H76" s="452">
        <v>5</v>
      </c>
      <c r="I76" s="452">
        <v>5</v>
      </c>
      <c r="J76" s="452">
        <v>5</v>
      </c>
      <c r="K76" s="452">
        <v>5</v>
      </c>
      <c r="L76" s="452">
        <v>5</v>
      </c>
      <c r="M76" s="452">
        <v>5</v>
      </c>
      <c r="N76" s="452">
        <v>5</v>
      </c>
      <c r="P76" s="451"/>
      <c r="R76" s="449" t="s">
        <v>784</v>
      </c>
      <c r="S76" s="448" t="s">
        <v>783</v>
      </c>
      <c r="T76" s="448" t="s">
        <v>782</v>
      </c>
      <c r="U76" s="448" t="s">
        <v>781</v>
      </c>
      <c r="V76" s="448" t="s">
        <v>780</v>
      </c>
      <c r="W76" s="450" t="s">
        <v>779</v>
      </c>
      <c r="Y76" s="449" t="s">
        <v>951</v>
      </c>
      <c r="Z76" s="448" t="s">
        <v>114</v>
      </c>
      <c r="AA76" s="438"/>
      <c r="AC76" s="437"/>
      <c r="AD76" s="433" t="s">
        <v>951</v>
      </c>
      <c r="AE76" s="438" t="s">
        <v>114</v>
      </c>
    </row>
    <row r="77" spans="3:33" s="147" customFormat="1">
      <c r="D77" s="147" t="s">
        <v>950</v>
      </c>
      <c r="E77" s="443">
        <v>3</v>
      </c>
      <c r="F77" s="442">
        <v>3</v>
      </c>
      <c r="G77" s="442">
        <v>3</v>
      </c>
      <c r="H77" s="442">
        <v>3</v>
      </c>
      <c r="I77" s="442">
        <v>3</v>
      </c>
      <c r="J77" s="442">
        <v>3</v>
      </c>
      <c r="K77" s="442">
        <v>3</v>
      </c>
      <c r="L77" s="442">
        <v>3</v>
      </c>
      <c r="M77" s="442">
        <v>3</v>
      </c>
      <c r="N77" s="442">
        <v>3</v>
      </c>
      <c r="P77" s="447" t="s">
        <v>191</v>
      </c>
      <c r="R77" s="445">
        <v>-3</v>
      </c>
      <c r="S77" s="436">
        <v>-1</v>
      </c>
      <c r="T77" s="436">
        <v>-0.5</v>
      </c>
      <c r="U77" s="436">
        <v>0</v>
      </c>
      <c r="V77" s="436">
        <v>1</v>
      </c>
      <c r="W77" s="446">
        <v>3</v>
      </c>
      <c r="Y77" s="445">
        <v>2</v>
      </c>
      <c r="Z77" s="444">
        <v>1</v>
      </c>
      <c r="AA77" s="438"/>
      <c r="AC77" s="437" t="s">
        <v>949</v>
      </c>
      <c r="AD77" s="436">
        <v>2</v>
      </c>
      <c r="AE77" s="435">
        <v>1</v>
      </c>
    </row>
    <row r="78" spans="3:33" s="147" customFormat="1">
      <c r="D78" s="147" t="s">
        <v>948</v>
      </c>
      <c r="E78" s="443">
        <f t="shared" ref="E78:N78" si="14">E77+E76</f>
        <v>8</v>
      </c>
      <c r="F78" s="442">
        <f t="shared" si="14"/>
        <v>8</v>
      </c>
      <c r="G78" s="442">
        <f t="shared" si="14"/>
        <v>8</v>
      </c>
      <c r="H78" s="442">
        <f t="shared" si="14"/>
        <v>8</v>
      </c>
      <c r="I78" s="442">
        <f t="shared" si="14"/>
        <v>8</v>
      </c>
      <c r="J78" s="442">
        <f t="shared" si="14"/>
        <v>8</v>
      </c>
      <c r="K78" s="442">
        <f t="shared" si="14"/>
        <v>8</v>
      </c>
      <c r="L78" s="442">
        <f t="shared" si="14"/>
        <v>8</v>
      </c>
      <c r="M78" s="442">
        <f t="shared" si="14"/>
        <v>8</v>
      </c>
      <c r="N78" s="442">
        <f t="shared" si="14"/>
        <v>8</v>
      </c>
      <c r="P78" s="441">
        <v>1</v>
      </c>
      <c r="R78" s="437"/>
      <c r="S78" s="433"/>
      <c r="T78" s="433"/>
      <c r="U78" s="433"/>
      <c r="V78" s="433"/>
      <c r="W78" s="438"/>
      <c r="Y78" s="437"/>
      <c r="Z78" s="433"/>
      <c r="AA78" s="438"/>
      <c r="AC78" s="437" t="s">
        <v>947</v>
      </c>
      <c r="AD78" s="436">
        <v>-0.3</v>
      </c>
      <c r="AE78" s="435">
        <v>2</v>
      </c>
    </row>
    <row r="79" spans="3:33" s="147" customFormat="1">
      <c r="D79" s="147" t="s">
        <v>946</v>
      </c>
      <c r="E79" s="440"/>
      <c r="F79" s="439"/>
      <c r="G79" s="439"/>
      <c r="H79" s="439"/>
      <c r="I79" s="439"/>
      <c r="J79" s="439"/>
      <c r="K79" s="439"/>
      <c r="L79" s="439"/>
      <c r="M79" s="439"/>
      <c r="N79" s="439"/>
      <c r="R79" s="437"/>
      <c r="S79" s="433"/>
      <c r="T79" s="433"/>
      <c r="U79" s="433"/>
      <c r="V79" s="433"/>
      <c r="W79" s="438"/>
      <c r="Y79" s="437"/>
      <c r="Z79" s="433"/>
      <c r="AA79" s="438"/>
      <c r="AC79" s="437"/>
      <c r="AD79" s="436"/>
      <c r="AE79" s="435"/>
      <c r="AF79" s="434"/>
      <c r="AG79" s="434"/>
    </row>
    <row r="80" spans="3:33" s="147" customFormat="1">
      <c r="P80" s="433"/>
      <c r="R80" s="432"/>
      <c r="S80" s="418"/>
      <c r="T80" s="418"/>
      <c r="U80" s="418"/>
      <c r="V80" s="418"/>
      <c r="W80" s="431"/>
      <c r="Y80" s="432"/>
      <c r="Z80" s="418"/>
      <c r="AA80" s="431"/>
      <c r="AC80" s="432"/>
      <c r="AD80" s="418"/>
      <c r="AE80" s="431"/>
    </row>
    <row r="81" spans="1:29" s="147" customFormat="1">
      <c r="C81" s="147" t="s">
        <v>986</v>
      </c>
      <c r="E81" s="430">
        <f t="shared" ref="E81:N81" si="15">paramChallengeCPE</f>
        <v>0</v>
      </c>
      <c r="F81" s="430">
        <f t="shared" si="15"/>
        <v>0</v>
      </c>
      <c r="G81" s="430">
        <f t="shared" si="15"/>
        <v>0</v>
      </c>
      <c r="H81" s="430">
        <f t="shared" si="15"/>
        <v>0</v>
      </c>
      <c r="I81" s="430">
        <f t="shared" si="15"/>
        <v>0</v>
      </c>
      <c r="J81" s="430">
        <f t="shared" si="15"/>
        <v>0</v>
      </c>
      <c r="K81" s="430">
        <f t="shared" si="15"/>
        <v>0</v>
      </c>
      <c r="L81" s="430">
        <f t="shared" si="15"/>
        <v>0</v>
      </c>
      <c r="M81" s="430">
        <f t="shared" si="15"/>
        <v>0</v>
      </c>
      <c r="N81" s="430">
        <f t="shared" si="15"/>
        <v>0</v>
      </c>
      <c r="O81" s="428"/>
    </row>
    <row r="82" spans="1:29" s="147" customFormat="1"/>
    <row r="83" spans="1:29" s="147" customFormat="1">
      <c r="C83" s="147" t="s">
        <v>935</v>
      </c>
      <c r="E83" s="166">
        <f t="shared" ref="E83:N83" si="16">ManualAdjCPAdvocacy</f>
        <v>0</v>
      </c>
      <c r="F83" s="166">
        <f t="shared" si="16"/>
        <v>0</v>
      </c>
      <c r="G83" s="166">
        <f t="shared" si="16"/>
        <v>0</v>
      </c>
      <c r="H83" s="166">
        <f t="shared" si="16"/>
        <v>0</v>
      </c>
      <c r="I83" s="166">
        <f t="shared" si="16"/>
        <v>0</v>
      </c>
      <c r="J83" s="166">
        <f t="shared" si="16"/>
        <v>0</v>
      </c>
      <c r="K83" s="166">
        <f t="shared" si="16"/>
        <v>0</v>
      </c>
      <c r="L83" s="166">
        <f t="shared" si="16"/>
        <v>0</v>
      </c>
      <c r="M83" s="166">
        <f t="shared" si="16"/>
        <v>0</v>
      </c>
      <c r="N83" s="166">
        <f t="shared" si="16"/>
        <v>0</v>
      </c>
      <c r="O83" s="147" t="s">
        <v>944</v>
      </c>
      <c r="R83" s="428" t="s">
        <v>943</v>
      </c>
    </row>
    <row r="84" spans="1:29" s="147" customFormat="1"/>
    <row r="85" spans="1:29" s="147" customFormat="1">
      <c r="C85" s="147" t="s">
        <v>942</v>
      </c>
      <c r="E85" s="429">
        <v>200</v>
      </c>
      <c r="I85" s="428"/>
      <c r="N85" s="428"/>
      <c r="R85" s="428"/>
    </row>
    <row r="86" spans="1:29" s="147" customFormat="1">
      <c r="C86" s="147" t="s">
        <v>941</v>
      </c>
      <c r="E86" s="429">
        <v>0</v>
      </c>
      <c r="I86" s="428"/>
      <c r="N86" s="428"/>
      <c r="R86" s="428"/>
    </row>
    <row r="87" spans="1:29" s="147" customFormat="1"/>
    <row r="88" spans="1:29" s="149" customFormat="1" ht="20.100000000000001" customHeight="1">
      <c r="C88" s="162" t="s">
        <v>112</v>
      </c>
      <c r="D88" s="163"/>
      <c r="E88" s="163"/>
      <c r="F88" s="163"/>
      <c r="G88" s="163"/>
      <c r="H88" s="163"/>
      <c r="I88" s="163"/>
      <c r="J88" s="163"/>
      <c r="K88" s="163"/>
      <c r="L88" s="163"/>
      <c r="M88" s="163"/>
      <c r="N88" s="163"/>
      <c r="O88" s="163"/>
      <c r="P88" s="163"/>
      <c r="Q88" s="163"/>
      <c r="R88" s="163"/>
      <c r="S88" s="163"/>
      <c r="T88" s="163"/>
      <c r="U88" s="163"/>
      <c r="V88" s="163"/>
      <c r="X88" s="163"/>
      <c r="AB88" s="163"/>
      <c r="AC88" s="149" t="s">
        <v>397</v>
      </c>
    </row>
    <row r="89" spans="1:29" s="147" customFormat="1">
      <c r="P89" s="154"/>
    </row>
    <row r="90" spans="1:29" s="149" customFormat="1">
      <c r="A90" s="148"/>
      <c r="C90" s="149" t="s">
        <v>940</v>
      </c>
      <c r="E90" s="150"/>
      <c r="F90" s="150"/>
      <c r="G90" s="150"/>
      <c r="H90" s="150"/>
      <c r="I90" s="150"/>
      <c r="J90" s="150"/>
      <c r="K90" s="150"/>
      <c r="L90" s="150"/>
      <c r="M90" s="150"/>
      <c r="N90" s="150"/>
    </row>
    <row r="91" spans="1:29" s="147" customFormat="1">
      <c r="E91" s="426"/>
      <c r="J91" s="426"/>
    </row>
    <row r="92" spans="1:29" s="147" customFormat="1">
      <c r="C92" s="147" t="str">
        <f>"Ending "&amp;$D$18</f>
        <v>Ending CP Advocacy</v>
      </c>
      <c r="E92" s="723">
        <f t="shared" ref="E92:N92" si="17">E$128</f>
        <v>78.678750000000008</v>
      </c>
      <c r="F92" s="723">
        <f t="shared" si="17"/>
        <v>78.678750000000008</v>
      </c>
      <c r="G92" s="723">
        <f t="shared" si="17"/>
        <v>78.678750000000008</v>
      </c>
      <c r="H92" s="723">
        <f t="shared" si="17"/>
        <v>78.678750000000008</v>
      </c>
      <c r="I92" s="723">
        <f t="shared" si="17"/>
        <v>78.678750000000008</v>
      </c>
      <c r="J92" s="723">
        <f t="shared" si="17"/>
        <v>78.678750000000008</v>
      </c>
      <c r="K92" s="723">
        <f t="shared" si="17"/>
        <v>78.678750000000008</v>
      </c>
      <c r="L92" s="723">
        <f t="shared" si="17"/>
        <v>78.678750000000008</v>
      </c>
      <c r="M92" s="723">
        <f t="shared" si="17"/>
        <v>78.678750000000008</v>
      </c>
      <c r="N92" s="723">
        <f t="shared" si="17"/>
        <v>78.678750000000008</v>
      </c>
      <c r="O92" s="480" t="s">
        <v>1313</v>
      </c>
    </row>
    <row r="93" spans="1:29" s="147" customFormat="1">
      <c r="P93" s="154"/>
    </row>
    <row r="94" spans="1:29" s="149" customFormat="1">
      <c r="A94" s="148"/>
      <c r="C94" s="149" t="s">
        <v>939</v>
      </c>
      <c r="E94" s="150"/>
      <c r="F94" s="150"/>
      <c r="G94" s="150"/>
      <c r="H94" s="150"/>
      <c r="I94" s="150"/>
      <c r="J94" s="150"/>
      <c r="K94" s="150"/>
      <c r="L94" s="150"/>
      <c r="M94" s="150"/>
      <c r="N94" s="150"/>
    </row>
    <row r="95" spans="1:29" s="147" customFormat="1">
      <c r="C95" s="428" t="s">
        <v>938</v>
      </c>
      <c r="E95" s="426"/>
      <c r="J95" s="426"/>
    </row>
    <row r="96" spans="1:29" s="147" customFormat="1">
      <c r="E96" s="426"/>
      <c r="J96" s="426"/>
    </row>
    <row r="97" spans="1:28" s="147" customFormat="1">
      <c r="D97" s="427" t="str">
        <f t="shared" ref="D97:D107" si="18">C115</f>
        <v>Consultative Skills</v>
      </c>
      <c r="E97" s="416">
        <f t="shared" ref="E97:I107" si="19">E115</f>
        <v>0.5</v>
      </c>
      <c r="F97" s="416">
        <f t="shared" si="19"/>
        <v>0.5</v>
      </c>
      <c r="G97" s="416">
        <f t="shared" si="19"/>
        <v>0.5</v>
      </c>
      <c r="H97" s="416">
        <f t="shared" si="19"/>
        <v>0.5</v>
      </c>
      <c r="I97" s="416">
        <f t="shared" si="19"/>
        <v>0.5</v>
      </c>
      <c r="J97" s="416">
        <f t="shared" ref="J97:N107" si="20">J115</f>
        <v>0.5</v>
      </c>
      <c r="K97" s="416">
        <f t="shared" si="20"/>
        <v>0.5</v>
      </c>
      <c r="L97" s="416">
        <f t="shared" si="20"/>
        <v>0.5</v>
      </c>
      <c r="M97" s="416">
        <f t="shared" si="20"/>
        <v>0.5</v>
      </c>
      <c r="N97" s="416">
        <f t="shared" si="20"/>
        <v>0.5</v>
      </c>
    </row>
    <row r="98" spans="1:28" s="147" customFormat="1">
      <c r="D98" s="427" t="str">
        <f t="shared" si="18"/>
        <v>Industry Expertise</v>
      </c>
      <c r="E98" s="416">
        <f t="shared" si="19"/>
        <v>0.2</v>
      </c>
      <c r="F98" s="416">
        <f t="shared" si="19"/>
        <v>0.2</v>
      </c>
      <c r="G98" s="416">
        <f t="shared" si="19"/>
        <v>0.2</v>
      </c>
      <c r="H98" s="416">
        <f t="shared" si="19"/>
        <v>0.2</v>
      </c>
      <c r="I98" s="416">
        <f t="shared" si="19"/>
        <v>0.2</v>
      </c>
      <c r="J98" s="416">
        <f t="shared" si="20"/>
        <v>0.2</v>
      </c>
      <c r="K98" s="416">
        <f t="shared" si="20"/>
        <v>0.2</v>
      </c>
      <c r="L98" s="416">
        <f t="shared" si="20"/>
        <v>0.2</v>
      </c>
      <c r="M98" s="416">
        <f t="shared" si="20"/>
        <v>0.2</v>
      </c>
      <c r="N98" s="416">
        <f t="shared" si="20"/>
        <v>0.2</v>
      </c>
    </row>
    <row r="99" spans="1:28" s="147" customFormat="1">
      <c r="D99" s="427" t="str">
        <f t="shared" si="18"/>
        <v>Partner Education</v>
      </c>
      <c r="E99" s="416">
        <f t="shared" si="19"/>
        <v>0</v>
      </c>
      <c r="F99" s="416">
        <f t="shared" si="19"/>
        <v>0</v>
      </c>
      <c r="G99" s="416">
        <f t="shared" si="19"/>
        <v>0</v>
      </c>
      <c r="H99" s="416">
        <f t="shared" si="19"/>
        <v>0</v>
      </c>
      <c r="I99" s="416">
        <f t="shared" si="19"/>
        <v>0</v>
      </c>
      <c r="J99" s="416">
        <f t="shared" si="20"/>
        <v>0</v>
      </c>
      <c r="K99" s="416">
        <f t="shared" si="20"/>
        <v>0</v>
      </c>
      <c r="L99" s="416">
        <f t="shared" si="20"/>
        <v>0</v>
      </c>
      <c r="M99" s="416">
        <f t="shared" si="20"/>
        <v>0</v>
      </c>
      <c r="N99" s="416">
        <f t="shared" si="20"/>
        <v>0</v>
      </c>
    </row>
    <row r="100" spans="1:28" s="147" customFormat="1">
      <c r="D100" s="427" t="str">
        <f t="shared" si="18"/>
        <v>Partner Incentives</v>
      </c>
      <c r="E100" s="416">
        <f t="shared" si="19"/>
        <v>0</v>
      </c>
      <c r="F100" s="416">
        <f t="shared" si="19"/>
        <v>0</v>
      </c>
      <c r="G100" s="416">
        <f t="shared" si="19"/>
        <v>0</v>
      </c>
      <c r="H100" s="416">
        <f t="shared" si="19"/>
        <v>0</v>
      </c>
      <c r="I100" s="416">
        <f t="shared" si="19"/>
        <v>0</v>
      </c>
      <c r="J100" s="416">
        <f t="shared" si="20"/>
        <v>0</v>
      </c>
      <c r="K100" s="416">
        <f t="shared" si="20"/>
        <v>0</v>
      </c>
      <c r="L100" s="416">
        <f t="shared" si="20"/>
        <v>0</v>
      </c>
      <c r="M100" s="416">
        <f t="shared" si="20"/>
        <v>0</v>
      </c>
      <c r="N100" s="416">
        <f t="shared" si="20"/>
        <v>0</v>
      </c>
    </row>
    <row r="101" spans="1:28" s="147" customFormat="1">
      <c r="D101" s="427" t="str">
        <f t="shared" si="18"/>
        <v>Customer Success</v>
      </c>
      <c r="E101" s="416">
        <f t="shared" si="19"/>
        <v>-2.021250000000002</v>
      </c>
      <c r="F101" s="416">
        <f t="shared" si="19"/>
        <v>-2.021250000000002</v>
      </c>
      <c r="G101" s="416">
        <f t="shared" si="19"/>
        <v>-2.021250000000002</v>
      </c>
      <c r="H101" s="416">
        <f t="shared" si="19"/>
        <v>-2.021250000000002</v>
      </c>
      <c r="I101" s="416">
        <f t="shared" si="19"/>
        <v>-2.021250000000002</v>
      </c>
      <c r="J101" s="416">
        <f t="shared" si="20"/>
        <v>-2.021250000000002</v>
      </c>
      <c r="K101" s="416">
        <f t="shared" si="20"/>
        <v>-2.021250000000002</v>
      </c>
      <c r="L101" s="416">
        <f t="shared" si="20"/>
        <v>-2.021250000000002</v>
      </c>
      <c r="M101" s="416">
        <f t="shared" si="20"/>
        <v>-2.021250000000002</v>
      </c>
      <c r="N101" s="416">
        <f t="shared" si="20"/>
        <v>-2.021250000000002</v>
      </c>
    </row>
    <row r="102" spans="1:28" s="147" customFormat="1">
      <c r="D102" s="427" t="str">
        <f t="shared" si="18"/>
        <v>Software Engineering FTEs</v>
      </c>
      <c r="E102" s="416">
        <f t="shared" si="19"/>
        <v>0</v>
      </c>
      <c r="F102" s="416">
        <f t="shared" si="19"/>
        <v>0</v>
      </c>
      <c r="G102" s="416">
        <f t="shared" si="19"/>
        <v>0</v>
      </c>
      <c r="H102" s="416">
        <f t="shared" si="19"/>
        <v>0</v>
      </c>
      <c r="I102" s="416">
        <f t="shared" si="19"/>
        <v>0</v>
      </c>
      <c r="J102" s="416">
        <f t="shared" si="20"/>
        <v>0</v>
      </c>
      <c r="K102" s="416">
        <f t="shared" si="20"/>
        <v>0</v>
      </c>
      <c r="L102" s="416">
        <f t="shared" si="20"/>
        <v>0</v>
      </c>
      <c r="M102" s="416">
        <f t="shared" si="20"/>
        <v>0</v>
      </c>
      <c r="N102" s="416">
        <f t="shared" si="20"/>
        <v>0</v>
      </c>
    </row>
    <row r="103" spans="1:28" s="147" customFormat="1">
      <c r="D103" s="427" t="str">
        <f t="shared" si="18"/>
        <v>Global Demand Center</v>
      </c>
      <c r="E103" s="416">
        <f t="shared" si="19"/>
        <v>0</v>
      </c>
      <c r="F103" s="416">
        <f t="shared" si="19"/>
        <v>0</v>
      </c>
      <c r="G103" s="416">
        <f t="shared" si="19"/>
        <v>0</v>
      </c>
      <c r="H103" s="416">
        <f t="shared" si="19"/>
        <v>0</v>
      </c>
      <c r="I103" s="416">
        <f t="shared" si="19"/>
        <v>0</v>
      </c>
      <c r="J103" s="416">
        <f t="shared" si="20"/>
        <v>0</v>
      </c>
      <c r="K103" s="416">
        <f t="shared" si="20"/>
        <v>0</v>
      </c>
      <c r="L103" s="416">
        <f t="shared" si="20"/>
        <v>0</v>
      </c>
      <c r="M103" s="416">
        <f t="shared" si="20"/>
        <v>0</v>
      </c>
      <c r="N103" s="416">
        <f t="shared" si="20"/>
        <v>0</v>
      </c>
    </row>
    <row r="104" spans="1:28" s="147" customFormat="1">
      <c r="D104" s="427" t="str">
        <f t="shared" si="18"/>
        <v xml:space="preserve">Driver 8 </v>
      </c>
      <c r="E104" s="416">
        <f t="shared" si="19"/>
        <v>0</v>
      </c>
      <c r="F104" s="416">
        <f t="shared" si="19"/>
        <v>0</v>
      </c>
      <c r="G104" s="416">
        <f t="shared" si="19"/>
        <v>0</v>
      </c>
      <c r="H104" s="416">
        <f t="shared" si="19"/>
        <v>0</v>
      </c>
      <c r="I104" s="416">
        <f t="shared" si="19"/>
        <v>0</v>
      </c>
      <c r="J104" s="416">
        <f t="shared" si="20"/>
        <v>0</v>
      </c>
      <c r="K104" s="416">
        <f t="shared" si="20"/>
        <v>0</v>
      </c>
      <c r="L104" s="416">
        <f t="shared" si="20"/>
        <v>0</v>
      </c>
      <c r="M104" s="416">
        <f t="shared" si="20"/>
        <v>0</v>
      </c>
      <c r="N104" s="416">
        <f t="shared" si="20"/>
        <v>0</v>
      </c>
    </row>
    <row r="105" spans="1:28" s="147" customFormat="1">
      <c r="D105" s="427" t="str">
        <f t="shared" si="18"/>
        <v xml:space="preserve">Driver 9 </v>
      </c>
      <c r="E105" s="416">
        <f t="shared" si="19"/>
        <v>0</v>
      </c>
      <c r="F105" s="416">
        <f t="shared" si="19"/>
        <v>0</v>
      </c>
      <c r="G105" s="416">
        <f t="shared" si="19"/>
        <v>0</v>
      </c>
      <c r="H105" s="416">
        <f t="shared" si="19"/>
        <v>0</v>
      </c>
      <c r="I105" s="416">
        <f t="shared" si="19"/>
        <v>0</v>
      </c>
      <c r="J105" s="416">
        <f t="shared" si="20"/>
        <v>0</v>
      </c>
      <c r="K105" s="416">
        <f t="shared" si="20"/>
        <v>0</v>
      </c>
      <c r="L105" s="416">
        <f t="shared" si="20"/>
        <v>0</v>
      </c>
      <c r="M105" s="416">
        <f t="shared" si="20"/>
        <v>0</v>
      </c>
      <c r="N105" s="416">
        <f t="shared" si="20"/>
        <v>0</v>
      </c>
    </row>
    <row r="106" spans="1:28" s="147" customFormat="1">
      <c r="D106" s="427" t="str">
        <f t="shared" si="18"/>
        <v xml:space="preserve">Driver 10 </v>
      </c>
      <c r="E106" s="416">
        <f t="shared" si="19"/>
        <v>0</v>
      </c>
      <c r="F106" s="416">
        <f t="shared" si="19"/>
        <v>0</v>
      </c>
      <c r="G106" s="416">
        <f t="shared" si="19"/>
        <v>0</v>
      </c>
      <c r="H106" s="416">
        <f t="shared" si="19"/>
        <v>0</v>
      </c>
      <c r="I106" s="416">
        <f t="shared" si="19"/>
        <v>0</v>
      </c>
      <c r="J106" s="416">
        <f t="shared" si="20"/>
        <v>0</v>
      </c>
      <c r="K106" s="416">
        <f t="shared" si="20"/>
        <v>0</v>
      </c>
      <c r="L106" s="416">
        <f t="shared" si="20"/>
        <v>0</v>
      </c>
      <c r="M106" s="416">
        <f t="shared" si="20"/>
        <v>0</v>
      </c>
      <c r="N106" s="416">
        <f t="shared" si="20"/>
        <v>0</v>
      </c>
    </row>
    <row r="107" spans="1:28" s="147" customFormat="1">
      <c r="D107" s="427" t="str">
        <f t="shared" si="18"/>
        <v>Challenges</v>
      </c>
      <c r="E107" s="416">
        <f t="shared" si="19"/>
        <v>0</v>
      </c>
      <c r="F107" s="416">
        <f t="shared" si="19"/>
        <v>0</v>
      </c>
      <c r="G107" s="416">
        <f t="shared" si="19"/>
        <v>0</v>
      </c>
      <c r="H107" s="416">
        <f t="shared" si="19"/>
        <v>0</v>
      </c>
      <c r="I107" s="416">
        <f t="shared" si="19"/>
        <v>0</v>
      </c>
      <c r="J107" s="416">
        <f t="shared" si="20"/>
        <v>0</v>
      </c>
      <c r="K107" s="416">
        <f t="shared" si="20"/>
        <v>0</v>
      </c>
      <c r="L107" s="416">
        <f t="shared" si="20"/>
        <v>0</v>
      </c>
      <c r="M107" s="416">
        <f t="shared" si="20"/>
        <v>0</v>
      </c>
      <c r="N107" s="416">
        <f t="shared" si="20"/>
        <v>0</v>
      </c>
    </row>
    <row r="108" spans="1:28" s="147" customFormat="1">
      <c r="D108" s="427" t="str">
        <f>"Ending "&amp;$D$18</f>
        <v>Ending CP Advocacy</v>
      </c>
      <c r="E108" s="416">
        <f t="shared" ref="E108:N108" si="21">E128</f>
        <v>78.678750000000008</v>
      </c>
      <c r="F108" s="416">
        <f t="shared" si="21"/>
        <v>78.678750000000008</v>
      </c>
      <c r="G108" s="416">
        <f t="shared" si="21"/>
        <v>78.678750000000008</v>
      </c>
      <c r="H108" s="416">
        <f t="shared" si="21"/>
        <v>78.678750000000008</v>
      </c>
      <c r="I108" s="416">
        <f t="shared" si="21"/>
        <v>78.678750000000008</v>
      </c>
      <c r="J108" s="416">
        <f t="shared" si="21"/>
        <v>78.678750000000008</v>
      </c>
      <c r="K108" s="416">
        <f t="shared" si="21"/>
        <v>78.678750000000008</v>
      </c>
      <c r="L108" s="416">
        <f t="shared" si="21"/>
        <v>78.678750000000008</v>
      </c>
      <c r="M108" s="416">
        <f t="shared" si="21"/>
        <v>78.678750000000008</v>
      </c>
      <c r="N108" s="416">
        <f t="shared" si="21"/>
        <v>78.678750000000008</v>
      </c>
    </row>
    <row r="109" spans="1:28" s="147" customFormat="1">
      <c r="E109" s="426"/>
      <c r="J109" s="426"/>
    </row>
    <row r="110" spans="1:28" s="149" customFormat="1" ht="20.100000000000001" customHeight="1">
      <c r="C110" s="162" t="s">
        <v>119</v>
      </c>
      <c r="D110" s="163"/>
      <c r="E110" s="163"/>
      <c r="F110" s="163"/>
      <c r="G110" s="163"/>
      <c r="H110" s="163"/>
      <c r="I110" s="163"/>
      <c r="J110" s="163"/>
      <c r="K110" s="163"/>
      <c r="L110" s="163"/>
      <c r="M110" s="163"/>
      <c r="N110" s="163"/>
      <c r="O110" s="163"/>
      <c r="P110" s="163"/>
      <c r="Q110" s="163"/>
      <c r="R110" s="163"/>
      <c r="S110" s="163"/>
      <c r="T110" s="163"/>
      <c r="U110" s="163"/>
      <c r="V110" s="163"/>
      <c r="X110" s="163"/>
      <c r="AB110" s="163"/>
    </row>
    <row r="111" spans="1:28" s="147" customFormat="1">
      <c r="P111" s="154"/>
    </row>
    <row r="112" spans="1:28" s="149" customFormat="1">
      <c r="A112" s="148"/>
      <c r="C112" s="149" t="s">
        <v>937</v>
      </c>
      <c r="E112" s="150"/>
      <c r="F112" s="150"/>
      <c r="G112" s="150"/>
      <c r="H112" s="150"/>
      <c r="I112" s="150"/>
      <c r="J112" s="150"/>
      <c r="K112" s="150"/>
      <c r="L112" s="150"/>
      <c r="M112" s="150"/>
      <c r="N112" s="150"/>
    </row>
    <row r="113" spans="2:14">
      <c r="B113" s="159"/>
      <c r="D113" s="160"/>
      <c r="E113" s="161"/>
      <c r="F113" s="161"/>
      <c r="G113" s="161"/>
      <c r="H113" s="161"/>
      <c r="I113" s="161"/>
      <c r="J113" s="161"/>
      <c r="K113" s="161"/>
      <c r="L113" s="161"/>
      <c r="M113" s="161"/>
      <c r="N113" s="161"/>
    </row>
    <row r="114" spans="2:14" s="147" customFormat="1">
      <c r="C114" s="155" t="str">
        <f>"Opening "&amp;$D$18</f>
        <v>Opening CP Advocacy</v>
      </c>
      <c r="D114" s="426" t="s">
        <v>936</v>
      </c>
      <c r="E114" s="416">
        <f t="shared" ref="E114:N114" si="22">E$27</f>
        <v>80</v>
      </c>
      <c r="F114" s="416">
        <f t="shared" si="22"/>
        <v>80</v>
      </c>
      <c r="G114" s="416">
        <f t="shared" si="22"/>
        <v>80</v>
      </c>
      <c r="H114" s="416">
        <f t="shared" si="22"/>
        <v>80</v>
      </c>
      <c r="I114" s="416">
        <f t="shared" si="22"/>
        <v>80</v>
      </c>
      <c r="J114" s="416">
        <f t="shared" si="22"/>
        <v>80</v>
      </c>
      <c r="K114" s="416">
        <f t="shared" si="22"/>
        <v>80</v>
      </c>
      <c r="L114" s="416">
        <f t="shared" si="22"/>
        <v>80</v>
      </c>
      <c r="M114" s="416">
        <f t="shared" si="22"/>
        <v>80</v>
      </c>
      <c r="N114" s="416">
        <f t="shared" si="22"/>
        <v>80</v>
      </c>
    </row>
    <row r="115" spans="2:14" s="147" customFormat="1">
      <c r="C115" s="155" t="str">
        <f>C$31</f>
        <v>Consultative Skills</v>
      </c>
      <c r="D115" s="416" t="str">
        <f>P31</f>
        <v>Non-Linear</v>
      </c>
      <c r="E115" s="416">
        <f t="shared" ref="E115:N115" si="23">IF($P31="Absolute",E132,IF($P31="Relative",E156,IF($P31="Relative Change",SUM(E169:E170),IF($P31="Non-Linear",E34,0))))</f>
        <v>0.5</v>
      </c>
      <c r="F115" s="416">
        <f t="shared" si="23"/>
        <v>0.5</v>
      </c>
      <c r="G115" s="416">
        <f t="shared" si="23"/>
        <v>0.5</v>
      </c>
      <c r="H115" s="416">
        <f t="shared" si="23"/>
        <v>0.5</v>
      </c>
      <c r="I115" s="416">
        <f t="shared" si="23"/>
        <v>0.5</v>
      </c>
      <c r="J115" s="416">
        <f t="shared" si="23"/>
        <v>0.5</v>
      </c>
      <c r="K115" s="416">
        <f t="shared" si="23"/>
        <v>0.5</v>
      </c>
      <c r="L115" s="416">
        <f t="shared" si="23"/>
        <v>0.5</v>
      </c>
      <c r="M115" s="416">
        <f t="shared" si="23"/>
        <v>0.5</v>
      </c>
      <c r="N115" s="416">
        <f t="shared" si="23"/>
        <v>0.5</v>
      </c>
    </row>
    <row r="116" spans="2:14" s="147" customFormat="1">
      <c r="C116" s="155" t="str">
        <f>C$36</f>
        <v>Industry Expertise</v>
      </c>
      <c r="D116" s="416" t="str">
        <f>P36</f>
        <v>Non-Linear</v>
      </c>
      <c r="E116" s="416">
        <f t="shared" ref="E116:N116" si="24">IF($P36="Absolute",E133,IF($P36="Relative",E157,IF($P36="Relative Change",SUM(E171:E172),IF($P36="Non-Linear",E39,0))))</f>
        <v>0.2</v>
      </c>
      <c r="F116" s="416">
        <f t="shared" si="24"/>
        <v>0.2</v>
      </c>
      <c r="G116" s="416">
        <f t="shared" si="24"/>
        <v>0.2</v>
      </c>
      <c r="H116" s="416">
        <f t="shared" si="24"/>
        <v>0.2</v>
      </c>
      <c r="I116" s="416">
        <f t="shared" si="24"/>
        <v>0.2</v>
      </c>
      <c r="J116" s="416">
        <f t="shared" si="24"/>
        <v>0.2</v>
      </c>
      <c r="K116" s="416">
        <f t="shared" si="24"/>
        <v>0.2</v>
      </c>
      <c r="L116" s="416">
        <f t="shared" si="24"/>
        <v>0.2</v>
      </c>
      <c r="M116" s="416">
        <f t="shared" si="24"/>
        <v>0.2</v>
      </c>
      <c r="N116" s="416">
        <f t="shared" si="24"/>
        <v>0.2</v>
      </c>
    </row>
    <row r="117" spans="2:14" s="147" customFormat="1">
      <c r="C117" s="155" t="str">
        <f>C$41</f>
        <v>Partner Education</v>
      </c>
      <c r="D117" s="416" t="str">
        <f>P41</f>
        <v>Non-Linear</v>
      </c>
      <c r="E117" s="416">
        <f t="shared" ref="E117:N117" si="25">IF($P41="Absolute",E134,IF($P41="Relative",E158,IF($P41="Relative Change",SUM(E173:E174),IF($P41="Non-Linear",E44,0))))</f>
        <v>0</v>
      </c>
      <c r="F117" s="416">
        <f t="shared" si="25"/>
        <v>0</v>
      </c>
      <c r="G117" s="416">
        <f t="shared" si="25"/>
        <v>0</v>
      </c>
      <c r="H117" s="416">
        <f t="shared" si="25"/>
        <v>0</v>
      </c>
      <c r="I117" s="416">
        <f t="shared" si="25"/>
        <v>0</v>
      </c>
      <c r="J117" s="416">
        <f t="shared" si="25"/>
        <v>0</v>
      </c>
      <c r="K117" s="416">
        <f t="shared" si="25"/>
        <v>0</v>
      </c>
      <c r="L117" s="416">
        <f t="shared" si="25"/>
        <v>0</v>
      </c>
      <c r="M117" s="416">
        <f t="shared" si="25"/>
        <v>0</v>
      </c>
      <c r="N117" s="416">
        <f t="shared" si="25"/>
        <v>0</v>
      </c>
    </row>
    <row r="118" spans="2:14" s="147" customFormat="1">
      <c r="C118" s="155" t="str">
        <f>C$46</f>
        <v>Partner Incentives</v>
      </c>
      <c r="D118" s="416" t="str">
        <f>P46</f>
        <v>Non-Linear</v>
      </c>
      <c r="E118" s="416">
        <f t="shared" ref="E118:N118" si="26">IF($P46="Absolute",E135,IF($P46="Relative",E159,IF($P46="Relative Change",SUM(E175:E176),IF($P46="Non-Linear",E49,0))))</f>
        <v>0</v>
      </c>
      <c r="F118" s="416">
        <f t="shared" si="26"/>
        <v>0</v>
      </c>
      <c r="G118" s="416">
        <f t="shared" si="26"/>
        <v>0</v>
      </c>
      <c r="H118" s="416">
        <f t="shared" si="26"/>
        <v>0</v>
      </c>
      <c r="I118" s="416">
        <f t="shared" si="26"/>
        <v>0</v>
      </c>
      <c r="J118" s="416">
        <f t="shared" si="26"/>
        <v>0</v>
      </c>
      <c r="K118" s="416">
        <f t="shared" si="26"/>
        <v>0</v>
      </c>
      <c r="L118" s="416">
        <f t="shared" si="26"/>
        <v>0</v>
      </c>
      <c r="M118" s="416">
        <f t="shared" si="26"/>
        <v>0</v>
      </c>
      <c r="N118" s="416">
        <f t="shared" si="26"/>
        <v>0</v>
      </c>
    </row>
    <row r="119" spans="2:14" s="147" customFormat="1">
      <c r="C119" s="155" t="str">
        <f>C$51</f>
        <v>Customer Success</v>
      </c>
      <c r="D119" s="416" t="str">
        <f>P51</f>
        <v>Non-Linear</v>
      </c>
      <c r="E119" s="416">
        <f t="shared" ref="E119:N119" si="27">IF($P51="Absolute",E136,IF($P51="Relative",E160,IF($P51="Relative Change",SUM(E177:E178),IF($P51="Non-Linear",E54,0))))</f>
        <v>-2.021250000000002</v>
      </c>
      <c r="F119" s="416">
        <f t="shared" si="27"/>
        <v>-2.021250000000002</v>
      </c>
      <c r="G119" s="416">
        <f t="shared" si="27"/>
        <v>-2.021250000000002</v>
      </c>
      <c r="H119" s="416">
        <f t="shared" si="27"/>
        <v>-2.021250000000002</v>
      </c>
      <c r="I119" s="416">
        <f t="shared" si="27"/>
        <v>-2.021250000000002</v>
      </c>
      <c r="J119" s="416">
        <f t="shared" si="27"/>
        <v>-2.021250000000002</v>
      </c>
      <c r="K119" s="416">
        <f t="shared" si="27"/>
        <v>-2.021250000000002</v>
      </c>
      <c r="L119" s="416">
        <f t="shared" si="27"/>
        <v>-2.021250000000002</v>
      </c>
      <c r="M119" s="416">
        <f t="shared" si="27"/>
        <v>-2.021250000000002</v>
      </c>
      <c r="N119" s="416">
        <f t="shared" si="27"/>
        <v>-2.021250000000002</v>
      </c>
    </row>
    <row r="120" spans="2:14" s="147" customFormat="1">
      <c r="C120" s="155" t="str">
        <f>C$56</f>
        <v>Software Engineering FTEs</v>
      </c>
      <c r="D120" s="416" t="str">
        <f>P56</f>
        <v>Non-Linear</v>
      </c>
      <c r="E120" s="416">
        <f t="shared" ref="E120:N120" si="28">IF($P56="Absolute",E137,IF($P56="Relative",E161,IF($P56="Relative Change",SUM(E179:E180),IF($P56="Non-Linear",E59,0))))</f>
        <v>0</v>
      </c>
      <c r="F120" s="416">
        <f t="shared" si="28"/>
        <v>0</v>
      </c>
      <c r="G120" s="416">
        <f t="shared" si="28"/>
        <v>0</v>
      </c>
      <c r="H120" s="416">
        <f t="shared" si="28"/>
        <v>0</v>
      </c>
      <c r="I120" s="416">
        <f t="shared" si="28"/>
        <v>0</v>
      </c>
      <c r="J120" s="416">
        <f t="shared" si="28"/>
        <v>0</v>
      </c>
      <c r="K120" s="416">
        <f t="shared" si="28"/>
        <v>0</v>
      </c>
      <c r="L120" s="416">
        <f t="shared" si="28"/>
        <v>0</v>
      </c>
      <c r="M120" s="416">
        <f t="shared" si="28"/>
        <v>0</v>
      </c>
      <c r="N120" s="416">
        <f t="shared" si="28"/>
        <v>0</v>
      </c>
    </row>
    <row r="121" spans="2:14" s="147" customFormat="1">
      <c r="C121" s="155" t="str">
        <f>C$61</f>
        <v>Global Demand Center</v>
      </c>
      <c r="D121" s="416" t="str">
        <f>P61</f>
        <v>Non-Linear</v>
      </c>
      <c r="E121" s="416">
        <f t="shared" ref="E121:N121" si="29">IF($P61="Absolute",E138,IF($P61="Relative",E162,IF($P61="Relative Change",SUM(E181:E182),IF($P61="Non-Linear",E64,0))))</f>
        <v>0</v>
      </c>
      <c r="F121" s="416">
        <f t="shared" si="29"/>
        <v>0</v>
      </c>
      <c r="G121" s="416">
        <f t="shared" si="29"/>
        <v>0</v>
      </c>
      <c r="H121" s="416">
        <f t="shared" si="29"/>
        <v>0</v>
      </c>
      <c r="I121" s="416">
        <f t="shared" si="29"/>
        <v>0</v>
      </c>
      <c r="J121" s="416">
        <f t="shared" si="29"/>
        <v>0</v>
      </c>
      <c r="K121" s="416">
        <f t="shared" si="29"/>
        <v>0</v>
      </c>
      <c r="L121" s="416">
        <f t="shared" si="29"/>
        <v>0</v>
      </c>
      <c r="M121" s="416">
        <f t="shared" si="29"/>
        <v>0</v>
      </c>
      <c r="N121" s="416">
        <f t="shared" si="29"/>
        <v>0</v>
      </c>
    </row>
    <row r="122" spans="2:14" s="147" customFormat="1">
      <c r="C122" s="155" t="str">
        <f>C$66</f>
        <v xml:space="preserve">Driver 8 </v>
      </c>
      <c r="D122" s="416">
        <f>P66</f>
        <v>0</v>
      </c>
      <c r="E122" s="416">
        <f t="shared" ref="E122:N122" si="30">IF($P66="Absolute",E139,IF($P66="Relative",E163,IF($P66="Relative Change",SUM(E183:E184),IF($P66="Non-Linear",E69,0))))</f>
        <v>0</v>
      </c>
      <c r="F122" s="416">
        <f t="shared" si="30"/>
        <v>0</v>
      </c>
      <c r="G122" s="416">
        <f t="shared" si="30"/>
        <v>0</v>
      </c>
      <c r="H122" s="416">
        <f t="shared" si="30"/>
        <v>0</v>
      </c>
      <c r="I122" s="416">
        <f t="shared" si="30"/>
        <v>0</v>
      </c>
      <c r="J122" s="416">
        <f t="shared" si="30"/>
        <v>0</v>
      </c>
      <c r="K122" s="416">
        <f t="shared" si="30"/>
        <v>0</v>
      </c>
      <c r="L122" s="416">
        <f t="shared" si="30"/>
        <v>0</v>
      </c>
      <c r="M122" s="416">
        <f t="shared" si="30"/>
        <v>0</v>
      </c>
      <c r="N122" s="416">
        <f t="shared" si="30"/>
        <v>0</v>
      </c>
    </row>
    <row r="123" spans="2:14" s="147" customFormat="1">
      <c r="C123" s="155" t="str">
        <f>C$71</f>
        <v xml:space="preserve">Driver 9 </v>
      </c>
      <c r="D123" s="416">
        <f>P71</f>
        <v>0</v>
      </c>
      <c r="E123" s="416">
        <f t="shared" ref="E123:N123" si="31">IF($P71="Absolute",E140,IF($P71="Relative",E164,IF($P71="Relative Change",SUM(E185:E186),IF($P71="Non-Linear",E74,0))))</f>
        <v>0</v>
      </c>
      <c r="F123" s="416">
        <f t="shared" si="31"/>
        <v>0</v>
      </c>
      <c r="G123" s="416">
        <f t="shared" si="31"/>
        <v>0</v>
      </c>
      <c r="H123" s="416">
        <f t="shared" si="31"/>
        <v>0</v>
      </c>
      <c r="I123" s="416">
        <f t="shared" si="31"/>
        <v>0</v>
      </c>
      <c r="J123" s="416">
        <f t="shared" si="31"/>
        <v>0</v>
      </c>
      <c r="K123" s="416">
        <f t="shared" si="31"/>
        <v>0</v>
      </c>
      <c r="L123" s="416">
        <f t="shared" si="31"/>
        <v>0</v>
      </c>
      <c r="M123" s="416">
        <f t="shared" si="31"/>
        <v>0</v>
      </c>
      <c r="N123" s="416">
        <f t="shared" si="31"/>
        <v>0</v>
      </c>
    </row>
    <row r="124" spans="2:14" s="147" customFormat="1">
      <c r="C124" s="155" t="str">
        <f>C$76</f>
        <v xml:space="preserve">Driver 10 </v>
      </c>
      <c r="D124" s="416">
        <f>P76</f>
        <v>0</v>
      </c>
      <c r="E124" s="416">
        <f t="shared" ref="E124:N124" si="32">IF($P76="Absolute",E141,IF($P76="Relative",E165,IF($P76="Relative Change",SUM(E187:E188),IF($P76="Non-Linear",E79,0))))</f>
        <v>0</v>
      </c>
      <c r="F124" s="416">
        <f t="shared" si="32"/>
        <v>0</v>
      </c>
      <c r="G124" s="416">
        <f t="shared" si="32"/>
        <v>0</v>
      </c>
      <c r="H124" s="416">
        <f t="shared" si="32"/>
        <v>0</v>
      </c>
      <c r="I124" s="416">
        <f t="shared" si="32"/>
        <v>0</v>
      </c>
      <c r="J124" s="416">
        <f t="shared" si="32"/>
        <v>0</v>
      </c>
      <c r="K124" s="416">
        <f t="shared" si="32"/>
        <v>0</v>
      </c>
      <c r="L124" s="416">
        <f t="shared" si="32"/>
        <v>0</v>
      </c>
      <c r="M124" s="416">
        <f t="shared" si="32"/>
        <v>0</v>
      </c>
      <c r="N124" s="416">
        <f t="shared" si="32"/>
        <v>0</v>
      </c>
    </row>
    <row r="125" spans="2:14" s="147" customFormat="1">
      <c r="C125" s="147" t="s">
        <v>986</v>
      </c>
      <c r="E125" s="416">
        <f t="shared" ref="E125:N125" si="33">E$81</f>
        <v>0</v>
      </c>
      <c r="F125" s="416">
        <f t="shared" si="33"/>
        <v>0</v>
      </c>
      <c r="G125" s="416">
        <f t="shared" si="33"/>
        <v>0</v>
      </c>
      <c r="H125" s="416">
        <f t="shared" si="33"/>
        <v>0</v>
      </c>
      <c r="I125" s="416">
        <f t="shared" si="33"/>
        <v>0</v>
      </c>
      <c r="J125" s="416">
        <f t="shared" si="33"/>
        <v>0</v>
      </c>
      <c r="K125" s="416">
        <f t="shared" si="33"/>
        <v>0</v>
      </c>
      <c r="L125" s="416">
        <f t="shared" si="33"/>
        <v>0</v>
      </c>
      <c r="M125" s="416">
        <f t="shared" si="33"/>
        <v>0</v>
      </c>
      <c r="N125" s="416">
        <f t="shared" si="33"/>
        <v>0</v>
      </c>
    </row>
    <row r="126" spans="2:14" s="147" customFormat="1">
      <c r="C126" s="147" t="s">
        <v>935</v>
      </c>
      <c r="E126" s="416">
        <f t="shared" ref="E126:N126" si="34">E$83</f>
        <v>0</v>
      </c>
      <c r="F126" s="416">
        <f t="shared" si="34"/>
        <v>0</v>
      </c>
      <c r="G126" s="416">
        <f t="shared" si="34"/>
        <v>0</v>
      </c>
      <c r="H126" s="416">
        <f t="shared" si="34"/>
        <v>0</v>
      </c>
      <c r="I126" s="416">
        <f t="shared" si="34"/>
        <v>0</v>
      </c>
      <c r="J126" s="416">
        <f t="shared" si="34"/>
        <v>0</v>
      </c>
      <c r="K126" s="416">
        <f t="shared" si="34"/>
        <v>0</v>
      </c>
      <c r="L126" s="416">
        <f t="shared" si="34"/>
        <v>0</v>
      </c>
      <c r="M126" s="416">
        <f t="shared" si="34"/>
        <v>0</v>
      </c>
      <c r="N126" s="416">
        <f t="shared" si="34"/>
        <v>0</v>
      </c>
    </row>
    <row r="127" spans="2:14" s="423" customFormat="1" ht="1.5" customHeight="1">
      <c r="D127" s="425"/>
      <c r="E127" s="424"/>
      <c r="F127" s="424"/>
      <c r="G127" s="424"/>
      <c r="H127" s="424"/>
      <c r="I127" s="424"/>
      <c r="J127" s="424"/>
      <c r="K127" s="424"/>
      <c r="L127" s="424"/>
      <c r="M127" s="424"/>
      <c r="N127" s="424"/>
    </row>
    <row r="128" spans="2:14">
      <c r="C128" s="158" t="str">
        <f>"Ending "&amp;$D$18</f>
        <v>Ending CP Advocacy</v>
      </c>
      <c r="E128" s="416">
        <f t="shared" ref="E128:N128" si="35">MAX(MIN(IF($D$22=0,E114,SUM(E114:E126)),$E$85),$E$86)</f>
        <v>78.678750000000008</v>
      </c>
      <c r="F128" s="416">
        <f t="shared" si="35"/>
        <v>78.678750000000008</v>
      </c>
      <c r="G128" s="416">
        <f t="shared" si="35"/>
        <v>78.678750000000008</v>
      </c>
      <c r="H128" s="416">
        <f t="shared" si="35"/>
        <v>78.678750000000008</v>
      </c>
      <c r="I128" s="416">
        <f t="shared" si="35"/>
        <v>78.678750000000008</v>
      </c>
      <c r="J128" s="416">
        <f t="shared" si="35"/>
        <v>78.678750000000008</v>
      </c>
      <c r="K128" s="416">
        <f t="shared" si="35"/>
        <v>78.678750000000008</v>
      </c>
      <c r="L128" s="416">
        <f t="shared" si="35"/>
        <v>78.678750000000008</v>
      </c>
      <c r="M128" s="416">
        <f t="shared" si="35"/>
        <v>78.678750000000008</v>
      </c>
      <c r="N128" s="416">
        <f t="shared" si="35"/>
        <v>78.678750000000008</v>
      </c>
    </row>
    <row r="129" spans="1:16" s="147" customFormat="1">
      <c r="P129" s="154"/>
    </row>
    <row r="130" spans="1:16" s="149" customFormat="1">
      <c r="A130" s="148"/>
      <c r="C130" s="149" t="s">
        <v>934</v>
      </c>
      <c r="E130" s="150"/>
      <c r="F130" s="150"/>
      <c r="G130" s="150"/>
      <c r="H130" s="150"/>
      <c r="I130" s="150"/>
      <c r="J130" s="150"/>
      <c r="K130" s="150"/>
      <c r="L130" s="150"/>
      <c r="M130" s="150"/>
      <c r="N130" s="150"/>
    </row>
    <row r="132" spans="1:16" s="147" customFormat="1">
      <c r="C132" s="155" t="str">
        <f>C$31</f>
        <v>Consultative Skills</v>
      </c>
      <c r="E132" s="416">
        <f t="shared" ref="E132:N132" si="36">INDEX($R32:$W32,E32+1)</f>
        <v>0</v>
      </c>
      <c r="F132" s="416">
        <f t="shared" si="36"/>
        <v>0</v>
      </c>
      <c r="G132" s="416">
        <f t="shared" si="36"/>
        <v>0</v>
      </c>
      <c r="H132" s="416">
        <f t="shared" si="36"/>
        <v>0</v>
      </c>
      <c r="I132" s="416">
        <f t="shared" si="36"/>
        <v>0</v>
      </c>
      <c r="J132" s="416">
        <f t="shared" si="36"/>
        <v>0</v>
      </c>
      <c r="K132" s="416">
        <f t="shared" si="36"/>
        <v>0</v>
      </c>
      <c r="L132" s="416">
        <f t="shared" si="36"/>
        <v>0</v>
      </c>
      <c r="M132" s="416">
        <f t="shared" si="36"/>
        <v>0</v>
      </c>
      <c r="N132" s="416">
        <f t="shared" si="36"/>
        <v>0</v>
      </c>
    </row>
    <row r="133" spans="1:16" s="147" customFormat="1">
      <c r="C133" s="155" t="str">
        <f>C$36</f>
        <v>Industry Expertise</v>
      </c>
      <c r="E133" s="416">
        <f t="shared" ref="E133:N133" si="37">INDEX($R37:$W37,E37+1)</f>
        <v>0</v>
      </c>
      <c r="F133" s="416">
        <f t="shared" si="37"/>
        <v>0</v>
      </c>
      <c r="G133" s="416">
        <f t="shared" si="37"/>
        <v>0</v>
      </c>
      <c r="H133" s="416">
        <f t="shared" si="37"/>
        <v>0</v>
      </c>
      <c r="I133" s="416">
        <f t="shared" si="37"/>
        <v>0</v>
      </c>
      <c r="J133" s="416">
        <f t="shared" si="37"/>
        <v>0</v>
      </c>
      <c r="K133" s="416">
        <f t="shared" si="37"/>
        <v>0</v>
      </c>
      <c r="L133" s="416">
        <f t="shared" si="37"/>
        <v>0</v>
      </c>
      <c r="M133" s="416">
        <f t="shared" si="37"/>
        <v>0</v>
      </c>
      <c r="N133" s="416">
        <f t="shared" si="37"/>
        <v>0</v>
      </c>
    </row>
    <row r="134" spans="1:16" s="147" customFormat="1">
      <c r="C134" s="155" t="str">
        <f>C$41</f>
        <v>Partner Education</v>
      </c>
      <c r="E134" s="416">
        <f t="shared" ref="E134:N134" si="38">INDEX($R42:$W42,E42+1)</f>
        <v>0</v>
      </c>
      <c r="F134" s="416">
        <f t="shared" si="38"/>
        <v>0</v>
      </c>
      <c r="G134" s="416">
        <f t="shared" si="38"/>
        <v>0</v>
      </c>
      <c r="H134" s="416">
        <f t="shared" si="38"/>
        <v>0</v>
      </c>
      <c r="I134" s="416">
        <f t="shared" si="38"/>
        <v>0</v>
      </c>
      <c r="J134" s="416">
        <f t="shared" si="38"/>
        <v>0</v>
      </c>
      <c r="K134" s="416">
        <f t="shared" si="38"/>
        <v>0</v>
      </c>
      <c r="L134" s="416">
        <f t="shared" si="38"/>
        <v>0</v>
      </c>
      <c r="M134" s="416">
        <f t="shared" si="38"/>
        <v>0</v>
      </c>
      <c r="N134" s="416">
        <f t="shared" si="38"/>
        <v>0</v>
      </c>
    </row>
    <row r="135" spans="1:16" s="147" customFormat="1">
      <c r="C135" s="155" t="str">
        <f>C$46</f>
        <v>Partner Incentives</v>
      </c>
      <c r="E135" s="416">
        <f t="shared" ref="E135:N135" si="39">INDEX($R47:$W47,E47+1)</f>
        <v>0</v>
      </c>
      <c r="F135" s="416">
        <f t="shared" si="39"/>
        <v>0</v>
      </c>
      <c r="G135" s="416">
        <f t="shared" si="39"/>
        <v>0</v>
      </c>
      <c r="H135" s="416">
        <f t="shared" si="39"/>
        <v>0</v>
      </c>
      <c r="I135" s="416">
        <f t="shared" si="39"/>
        <v>0</v>
      </c>
      <c r="J135" s="416">
        <f t="shared" si="39"/>
        <v>0</v>
      </c>
      <c r="K135" s="416">
        <f t="shared" si="39"/>
        <v>0</v>
      </c>
      <c r="L135" s="416">
        <f t="shared" si="39"/>
        <v>0</v>
      </c>
      <c r="M135" s="416">
        <f t="shared" si="39"/>
        <v>0</v>
      </c>
      <c r="N135" s="416">
        <f t="shared" si="39"/>
        <v>0</v>
      </c>
    </row>
    <row r="136" spans="1:16" s="147" customFormat="1">
      <c r="C136" s="155" t="str">
        <f>C$51</f>
        <v>Customer Success</v>
      </c>
      <c r="E136" s="416">
        <f t="shared" ref="E136:N136" si="40">INDEX($R52:$W52,E52+1)</f>
        <v>0</v>
      </c>
      <c r="F136" s="416">
        <f t="shared" si="40"/>
        <v>0</v>
      </c>
      <c r="G136" s="416">
        <f t="shared" si="40"/>
        <v>0</v>
      </c>
      <c r="H136" s="416">
        <f t="shared" si="40"/>
        <v>0</v>
      </c>
      <c r="I136" s="416">
        <f t="shared" si="40"/>
        <v>0</v>
      </c>
      <c r="J136" s="416">
        <f t="shared" si="40"/>
        <v>0</v>
      </c>
      <c r="K136" s="416">
        <f t="shared" si="40"/>
        <v>0</v>
      </c>
      <c r="L136" s="416">
        <f t="shared" si="40"/>
        <v>0</v>
      </c>
      <c r="M136" s="416">
        <f t="shared" si="40"/>
        <v>0</v>
      </c>
      <c r="N136" s="416">
        <f t="shared" si="40"/>
        <v>0</v>
      </c>
    </row>
    <row r="137" spans="1:16" s="147" customFormat="1">
      <c r="C137" s="155" t="str">
        <f>C$56</f>
        <v>Software Engineering FTEs</v>
      </c>
      <c r="E137" s="416">
        <f t="shared" ref="E137:N137" si="41">INDEX($R57:$W57,E57+1)</f>
        <v>0</v>
      </c>
      <c r="F137" s="416">
        <f t="shared" si="41"/>
        <v>0</v>
      </c>
      <c r="G137" s="416">
        <f t="shared" si="41"/>
        <v>0</v>
      </c>
      <c r="H137" s="416">
        <f t="shared" si="41"/>
        <v>0</v>
      </c>
      <c r="I137" s="416">
        <f t="shared" si="41"/>
        <v>0</v>
      </c>
      <c r="J137" s="416">
        <f t="shared" si="41"/>
        <v>0</v>
      </c>
      <c r="K137" s="416">
        <f t="shared" si="41"/>
        <v>0</v>
      </c>
      <c r="L137" s="416">
        <f t="shared" si="41"/>
        <v>0</v>
      </c>
      <c r="M137" s="416">
        <f t="shared" si="41"/>
        <v>0</v>
      </c>
      <c r="N137" s="416">
        <f t="shared" si="41"/>
        <v>0</v>
      </c>
    </row>
    <row r="138" spans="1:16" s="147" customFormat="1">
      <c r="C138" s="155" t="str">
        <f>C$61</f>
        <v>Global Demand Center</v>
      </c>
      <c r="E138" s="416">
        <f t="shared" ref="E138:N138" si="42">INDEX($R62:$W62,E62+1)</f>
        <v>0</v>
      </c>
      <c r="F138" s="416">
        <f t="shared" si="42"/>
        <v>0</v>
      </c>
      <c r="G138" s="416">
        <f t="shared" si="42"/>
        <v>0</v>
      </c>
      <c r="H138" s="416">
        <f t="shared" si="42"/>
        <v>0</v>
      </c>
      <c r="I138" s="416">
        <f t="shared" si="42"/>
        <v>0</v>
      </c>
      <c r="J138" s="416">
        <f t="shared" si="42"/>
        <v>0</v>
      </c>
      <c r="K138" s="416">
        <f t="shared" si="42"/>
        <v>0</v>
      </c>
      <c r="L138" s="416">
        <f t="shared" si="42"/>
        <v>0</v>
      </c>
      <c r="M138" s="416">
        <f t="shared" si="42"/>
        <v>0</v>
      </c>
      <c r="N138" s="416">
        <f t="shared" si="42"/>
        <v>0</v>
      </c>
    </row>
    <row r="139" spans="1:16" s="147" customFormat="1">
      <c r="C139" s="155" t="str">
        <f>C$66</f>
        <v xml:space="preserve">Driver 8 </v>
      </c>
      <c r="E139" s="416">
        <f t="shared" ref="E139:N139" si="43">INDEX($R67:$W67,E67+1)</f>
        <v>0</v>
      </c>
      <c r="F139" s="416">
        <f t="shared" si="43"/>
        <v>0</v>
      </c>
      <c r="G139" s="416">
        <f t="shared" si="43"/>
        <v>0</v>
      </c>
      <c r="H139" s="416">
        <f t="shared" si="43"/>
        <v>0</v>
      </c>
      <c r="I139" s="416">
        <f t="shared" si="43"/>
        <v>0</v>
      </c>
      <c r="J139" s="416">
        <f t="shared" si="43"/>
        <v>0</v>
      </c>
      <c r="K139" s="416">
        <f t="shared" si="43"/>
        <v>0</v>
      </c>
      <c r="L139" s="416">
        <f t="shared" si="43"/>
        <v>0</v>
      </c>
      <c r="M139" s="416">
        <f t="shared" si="43"/>
        <v>0</v>
      </c>
      <c r="N139" s="416">
        <f t="shared" si="43"/>
        <v>0</v>
      </c>
    </row>
    <row r="140" spans="1:16" s="147" customFormat="1">
      <c r="C140" s="155" t="str">
        <f>C$71</f>
        <v xml:space="preserve">Driver 9 </v>
      </c>
      <c r="E140" s="416">
        <f t="shared" ref="E140:N140" si="44">INDEX($R72:$W72,E72+1)</f>
        <v>0</v>
      </c>
      <c r="F140" s="416">
        <f t="shared" si="44"/>
        <v>0</v>
      </c>
      <c r="G140" s="416">
        <f t="shared" si="44"/>
        <v>0</v>
      </c>
      <c r="H140" s="416">
        <f t="shared" si="44"/>
        <v>0</v>
      </c>
      <c r="I140" s="416">
        <f t="shared" si="44"/>
        <v>0</v>
      </c>
      <c r="J140" s="416">
        <f t="shared" si="44"/>
        <v>0</v>
      </c>
      <c r="K140" s="416">
        <f t="shared" si="44"/>
        <v>0</v>
      </c>
      <c r="L140" s="416">
        <f t="shared" si="44"/>
        <v>0</v>
      </c>
      <c r="M140" s="416">
        <f t="shared" si="44"/>
        <v>0</v>
      </c>
      <c r="N140" s="416">
        <f t="shared" si="44"/>
        <v>0</v>
      </c>
    </row>
    <row r="141" spans="1:16" s="147" customFormat="1">
      <c r="C141" s="155" t="str">
        <f>C$76</f>
        <v xml:space="preserve">Driver 10 </v>
      </c>
      <c r="E141" s="416">
        <f t="shared" ref="E141:N141" si="45">INDEX($R77:$W77,E77+1)</f>
        <v>0</v>
      </c>
      <c r="F141" s="416">
        <f t="shared" si="45"/>
        <v>0</v>
      </c>
      <c r="G141" s="416">
        <f t="shared" si="45"/>
        <v>0</v>
      </c>
      <c r="H141" s="416">
        <f t="shared" si="45"/>
        <v>0</v>
      </c>
      <c r="I141" s="416">
        <f t="shared" si="45"/>
        <v>0</v>
      </c>
      <c r="J141" s="416">
        <f t="shared" si="45"/>
        <v>0</v>
      </c>
      <c r="K141" s="416">
        <f t="shared" si="45"/>
        <v>0</v>
      </c>
      <c r="L141" s="416">
        <f t="shared" si="45"/>
        <v>0</v>
      </c>
      <c r="M141" s="416">
        <f t="shared" si="45"/>
        <v>0</v>
      </c>
      <c r="N141" s="416">
        <f t="shared" si="45"/>
        <v>0</v>
      </c>
    </row>
    <row r="142" spans="1:16" s="147" customFormat="1">
      <c r="P142" s="154"/>
    </row>
    <row r="143" spans="1:16" s="149" customFormat="1">
      <c r="A143" s="148"/>
      <c r="C143" s="149" t="s">
        <v>933</v>
      </c>
      <c r="E143" s="150"/>
      <c r="F143" s="150"/>
      <c r="G143" s="150"/>
      <c r="H143" s="150"/>
      <c r="I143" s="150"/>
      <c r="J143" s="150"/>
      <c r="K143" s="150"/>
      <c r="L143" s="150"/>
      <c r="M143" s="150"/>
      <c r="N143" s="150"/>
    </row>
    <row r="145" spans="3:16" s="147" customFormat="1">
      <c r="C145" s="155" t="str">
        <f>C$31</f>
        <v>Consultative Skills</v>
      </c>
      <c r="E145" s="416">
        <f t="shared" ref="E145:N145" si="46">_xlfn.NORM.DIST(E33,AVERAGE($E33:$N33),IF(_xlfn.STDEV.P($E33:$N33)=0,1,_xlfn.STDEV.P($E33:$N33))*$Z32,TRUE)</f>
        <v>0.5</v>
      </c>
      <c r="F145" s="416">
        <f t="shared" si="46"/>
        <v>0.5</v>
      </c>
      <c r="G145" s="416">
        <f t="shared" si="46"/>
        <v>0.5</v>
      </c>
      <c r="H145" s="416">
        <f t="shared" si="46"/>
        <v>0.5</v>
      </c>
      <c r="I145" s="416">
        <f t="shared" si="46"/>
        <v>0.5</v>
      </c>
      <c r="J145" s="416">
        <f t="shared" si="46"/>
        <v>0.5</v>
      </c>
      <c r="K145" s="416">
        <f t="shared" si="46"/>
        <v>0.5</v>
      </c>
      <c r="L145" s="416">
        <f t="shared" si="46"/>
        <v>0.5</v>
      </c>
      <c r="M145" s="416">
        <f t="shared" si="46"/>
        <v>0.5</v>
      </c>
      <c r="N145" s="416">
        <f t="shared" si="46"/>
        <v>0.5</v>
      </c>
      <c r="P145" s="416">
        <f t="shared" ref="P145:P154" si="47">IFERROR(AVERAGE(E145:I145),0)</f>
        <v>0.5</v>
      </c>
    </row>
    <row r="146" spans="3:16" s="147" customFormat="1">
      <c r="C146" s="155" t="str">
        <f>C$36</f>
        <v>Industry Expertise</v>
      </c>
      <c r="E146" s="416">
        <f t="shared" ref="E146:N146" si="48">_xlfn.NORM.DIST(E38,AVERAGE($E38:$N38),IF(_xlfn.STDEV.P($E38:$N38)=0,1,_xlfn.STDEV.P($E38:$N38))*$Z37,TRUE)</f>
        <v>0.5</v>
      </c>
      <c r="F146" s="416">
        <f t="shared" si="48"/>
        <v>0.5</v>
      </c>
      <c r="G146" s="416">
        <f t="shared" si="48"/>
        <v>0.5</v>
      </c>
      <c r="H146" s="416">
        <f t="shared" si="48"/>
        <v>0.5</v>
      </c>
      <c r="I146" s="416">
        <f t="shared" si="48"/>
        <v>0.5</v>
      </c>
      <c r="J146" s="416">
        <f t="shared" si="48"/>
        <v>0.5</v>
      </c>
      <c r="K146" s="416">
        <f t="shared" si="48"/>
        <v>0.5</v>
      </c>
      <c r="L146" s="416">
        <f t="shared" si="48"/>
        <v>0.5</v>
      </c>
      <c r="M146" s="416">
        <f t="shared" si="48"/>
        <v>0.5</v>
      </c>
      <c r="N146" s="416">
        <f t="shared" si="48"/>
        <v>0.5</v>
      </c>
      <c r="P146" s="416">
        <f t="shared" si="47"/>
        <v>0.5</v>
      </c>
    </row>
    <row r="147" spans="3:16" s="147" customFormat="1">
      <c r="C147" s="155" t="str">
        <f>C$41</f>
        <v>Partner Education</v>
      </c>
      <c r="E147" s="416">
        <f t="shared" ref="E147:N147" si="49">_xlfn.NORM.DIST(E43,AVERAGE($E43:$N43),IF(_xlfn.STDEV.P($E43:$N43)=0,1,_xlfn.STDEV.P($E43:$N43))*$Z42,TRUE)</f>
        <v>0.5</v>
      </c>
      <c r="F147" s="416">
        <f t="shared" si="49"/>
        <v>0.5</v>
      </c>
      <c r="G147" s="416">
        <f t="shared" si="49"/>
        <v>0.5</v>
      </c>
      <c r="H147" s="416">
        <f t="shared" si="49"/>
        <v>0.5</v>
      </c>
      <c r="I147" s="416">
        <f t="shared" si="49"/>
        <v>0.5</v>
      </c>
      <c r="J147" s="416">
        <f t="shared" si="49"/>
        <v>0.5</v>
      </c>
      <c r="K147" s="416">
        <f t="shared" si="49"/>
        <v>0.5</v>
      </c>
      <c r="L147" s="416">
        <f t="shared" si="49"/>
        <v>0.5</v>
      </c>
      <c r="M147" s="416">
        <f t="shared" si="49"/>
        <v>0.5</v>
      </c>
      <c r="N147" s="416">
        <f t="shared" si="49"/>
        <v>0.5</v>
      </c>
      <c r="P147" s="416">
        <f t="shared" si="47"/>
        <v>0.5</v>
      </c>
    </row>
    <row r="148" spans="3:16" s="147" customFormat="1">
      <c r="C148" s="155" t="str">
        <f>C$46</f>
        <v>Partner Incentives</v>
      </c>
      <c r="E148" s="416">
        <f t="shared" ref="E148:N148" si="50">_xlfn.NORM.DIST(E48,AVERAGE($E48:$N48),IF(_xlfn.STDEV.P($E48:$N48)=0,1,_xlfn.STDEV.P($E48:$N48))*$Z47,TRUE)</f>
        <v>0.5</v>
      </c>
      <c r="F148" s="416">
        <f t="shared" si="50"/>
        <v>0.5</v>
      </c>
      <c r="G148" s="416">
        <f t="shared" si="50"/>
        <v>0.5</v>
      </c>
      <c r="H148" s="416">
        <f t="shared" si="50"/>
        <v>0.5</v>
      </c>
      <c r="I148" s="416">
        <f t="shared" si="50"/>
        <v>0.5</v>
      </c>
      <c r="J148" s="416">
        <f t="shared" si="50"/>
        <v>0.5</v>
      </c>
      <c r="K148" s="416">
        <f t="shared" si="50"/>
        <v>0.5</v>
      </c>
      <c r="L148" s="416">
        <f t="shared" si="50"/>
        <v>0.5</v>
      </c>
      <c r="M148" s="416">
        <f t="shared" si="50"/>
        <v>0.5</v>
      </c>
      <c r="N148" s="416">
        <f t="shared" si="50"/>
        <v>0.5</v>
      </c>
      <c r="P148" s="416">
        <f t="shared" si="47"/>
        <v>0.5</v>
      </c>
    </row>
    <row r="149" spans="3:16" s="147" customFormat="1">
      <c r="C149" s="155" t="str">
        <f>C$51</f>
        <v>Customer Success</v>
      </c>
      <c r="E149" s="416">
        <f t="shared" ref="E149:N149" si="51">_xlfn.NORM.DIST(E53,AVERAGE($E53:$N53),IF(_xlfn.STDEV.P($E53:$N53)=0,1,_xlfn.STDEV.P($E53:$N53))*$Z52,TRUE)</f>
        <v>0.5</v>
      </c>
      <c r="F149" s="416">
        <f t="shared" si="51"/>
        <v>0.5</v>
      </c>
      <c r="G149" s="416">
        <f t="shared" si="51"/>
        <v>0.5</v>
      </c>
      <c r="H149" s="416">
        <f t="shared" si="51"/>
        <v>0.5</v>
      </c>
      <c r="I149" s="416">
        <f t="shared" si="51"/>
        <v>0.5</v>
      </c>
      <c r="J149" s="416">
        <f t="shared" si="51"/>
        <v>0.5</v>
      </c>
      <c r="K149" s="416">
        <f t="shared" si="51"/>
        <v>0.5</v>
      </c>
      <c r="L149" s="416">
        <f t="shared" si="51"/>
        <v>0.5</v>
      </c>
      <c r="M149" s="416">
        <f t="shared" si="51"/>
        <v>0.5</v>
      </c>
      <c r="N149" s="416">
        <f t="shared" si="51"/>
        <v>0.5</v>
      </c>
      <c r="P149" s="416">
        <f t="shared" si="47"/>
        <v>0.5</v>
      </c>
    </row>
    <row r="150" spans="3:16" s="147" customFormat="1">
      <c r="C150" s="155" t="str">
        <f>C$56</f>
        <v>Software Engineering FTEs</v>
      </c>
      <c r="E150" s="416">
        <f t="shared" ref="E150:N150" si="52">_xlfn.NORM.DIST(E58,AVERAGE($E58:$N58),IF(_xlfn.STDEV.P($E58:$N58)=0,1,_xlfn.STDEV.P($E58:$N58))*$Z57,TRUE)</f>
        <v>0.5</v>
      </c>
      <c r="F150" s="416">
        <f t="shared" si="52"/>
        <v>0.5</v>
      </c>
      <c r="G150" s="416">
        <f t="shared" si="52"/>
        <v>0.5</v>
      </c>
      <c r="H150" s="416">
        <f t="shared" si="52"/>
        <v>0.5</v>
      </c>
      <c r="I150" s="416">
        <f t="shared" si="52"/>
        <v>0.5</v>
      </c>
      <c r="J150" s="416">
        <f t="shared" si="52"/>
        <v>0.5</v>
      </c>
      <c r="K150" s="416">
        <f t="shared" si="52"/>
        <v>0.5</v>
      </c>
      <c r="L150" s="416">
        <f t="shared" si="52"/>
        <v>0.5</v>
      </c>
      <c r="M150" s="416">
        <f t="shared" si="52"/>
        <v>0.5</v>
      </c>
      <c r="N150" s="416">
        <f t="shared" si="52"/>
        <v>0.5</v>
      </c>
      <c r="P150" s="416">
        <f t="shared" si="47"/>
        <v>0.5</v>
      </c>
    </row>
    <row r="151" spans="3:16" s="147" customFormat="1">
      <c r="C151" s="155" t="str">
        <f>C$61</f>
        <v>Global Demand Center</v>
      </c>
      <c r="E151" s="416">
        <f t="shared" ref="E151:N151" si="53">_xlfn.NORM.DIST(E63,AVERAGE($E63:$N63),IF(_xlfn.STDEV.P($E63:$N63)=0,1,_xlfn.STDEV.P($E63:$N63))*$Z62,TRUE)</f>
        <v>0.5</v>
      </c>
      <c r="F151" s="416">
        <f t="shared" si="53"/>
        <v>0.5</v>
      </c>
      <c r="G151" s="416">
        <f t="shared" si="53"/>
        <v>0.5</v>
      </c>
      <c r="H151" s="416">
        <f t="shared" si="53"/>
        <v>0.5</v>
      </c>
      <c r="I151" s="416">
        <f t="shared" si="53"/>
        <v>0.5</v>
      </c>
      <c r="J151" s="416">
        <f t="shared" si="53"/>
        <v>0.5</v>
      </c>
      <c r="K151" s="416">
        <f t="shared" si="53"/>
        <v>0.5</v>
      </c>
      <c r="L151" s="416">
        <f t="shared" si="53"/>
        <v>0.5</v>
      </c>
      <c r="M151" s="416">
        <f t="shared" si="53"/>
        <v>0.5</v>
      </c>
      <c r="N151" s="416">
        <f t="shared" si="53"/>
        <v>0.5</v>
      </c>
      <c r="P151" s="416">
        <f t="shared" si="47"/>
        <v>0.5</v>
      </c>
    </row>
    <row r="152" spans="3:16" s="147" customFormat="1">
      <c r="C152" s="155" t="str">
        <f>C$66</f>
        <v xml:space="preserve">Driver 8 </v>
      </c>
      <c r="E152" s="416">
        <f t="shared" ref="E152:N152" si="54">_xlfn.NORM.DIST(E68,AVERAGE($E68:$N68),IF(_xlfn.STDEV.P($E68:$N68)=0,1,_xlfn.STDEV.P($E68:$N68))*$Z67,TRUE)</f>
        <v>0.5</v>
      </c>
      <c r="F152" s="416">
        <f t="shared" si="54"/>
        <v>0.5</v>
      </c>
      <c r="G152" s="416">
        <f t="shared" si="54"/>
        <v>0.5</v>
      </c>
      <c r="H152" s="416">
        <f t="shared" si="54"/>
        <v>0.5</v>
      </c>
      <c r="I152" s="416">
        <f t="shared" si="54"/>
        <v>0.5</v>
      </c>
      <c r="J152" s="416">
        <f t="shared" si="54"/>
        <v>0.5</v>
      </c>
      <c r="K152" s="416">
        <f t="shared" si="54"/>
        <v>0.5</v>
      </c>
      <c r="L152" s="416">
        <f t="shared" si="54"/>
        <v>0.5</v>
      </c>
      <c r="M152" s="416">
        <f t="shared" si="54"/>
        <v>0.5</v>
      </c>
      <c r="N152" s="416">
        <f t="shared" si="54"/>
        <v>0.5</v>
      </c>
      <c r="P152" s="416">
        <f t="shared" si="47"/>
        <v>0.5</v>
      </c>
    </row>
    <row r="153" spans="3:16" s="147" customFormat="1">
      <c r="C153" s="155" t="str">
        <f>C$71</f>
        <v xml:space="preserve">Driver 9 </v>
      </c>
      <c r="E153" s="416">
        <f t="shared" ref="E153:N153" si="55">_xlfn.NORM.DIST(E73,AVERAGE($E73:$N73),IF(_xlfn.STDEV.P($E73:$N73)=0,1,_xlfn.STDEV.P($E73:$N73))*$Z72,TRUE)</f>
        <v>0.5</v>
      </c>
      <c r="F153" s="416">
        <f t="shared" si="55"/>
        <v>0.5</v>
      </c>
      <c r="G153" s="416">
        <f t="shared" si="55"/>
        <v>0.5</v>
      </c>
      <c r="H153" s="416">
        <f t="shared" si="55"/>
        <v>0.5</v>
      </c>
      <c r="I153" s="416">
        <f t="shared" si="55"/>
        <v>0.5</v>
      </c>
      <c r="J153" s="416">
        <f t="shared" si="55"/>
        <v>0.5</v>
      </c>
      <c r="K153" s="416">
        <f t="shared" si="55"/>
        <v>0.5</v>
      </c>
      <c r="L153" s="416">
        <f t="shared" si="55"/>
        <v>0.5</v>
      </c>
      <c r="M153" s="416">
        <f t="shared" si="55"/>
        <v>0.5</v>
      </c>
      <c r="N153" s="416">
        <f t="shared" si="55"/>
        <v>0.5</v>
      </c>
      <c r="P153" s="416">
        <f t="shared" si="47"/>
        <v>0.5</v>
      </c>
    </row>
    <row r="154" spans="3:16" s="147" customFormat="1">
      <c r="C154" s="155" t="str">
        <f>C$76</f>
        <v xml:space="preserve">Driver 10 </v>
      </c>
      <c r="E154" s="416">
        <f t="shared" ref="E154:N154" si="56">_xlfn.NORM.DIST(E78,AVERAGE($E78:$N78),IF(_xlfn.STDEV.P($E78:$N78)=0,1,_xlfn.STDEV.P($E78:$N78))*$Z77,TRUE)</f>
        <v>0.5</v>
      </c>
      <c r="F154" s="416">
        <f t="shared" si="56"/>
        <v>0.5</v>
      </c>
      <c r="G154" s="416">
        <f t="shared" si="56"/>
        <v>0.5</v>
      </c>
      <c r="H154" s="416">
        <f t="shared" si="56"/>
        <v>0.5</v>
      </c>
      <c r="I154" s="416">
        <f t="shared" si="56"/>
        <v>0.5</v>
      </c>
      <c r="J154" s="416">
        <f t="shared" si="56"/>
        <v>0.5</v>
      </c>
      <c r="K154" s="416">
        <f t="shared" si="56"/>
        <v>0.5</v>
      </c>
      <c r="L154" s="416">
        <f t="shared" si="56"/>
        <v>0.5</v>
      </c>
      <c r="M154" s="416">
        <f t="shared" si="56"/>
        <v>0.5</v>
      </c>
      <c r="N154" s="416">
        <f t="shared" si="56"/>
        <v>0.5</v>
      </c>
      <c r="P154" s="416">
        <f t="shared" si="47"/>
        <v>0.5</v>
      </c>
    </row>
    <row r="156" spans="3:16" s="147" customFormat="1">
      <c r="C156" s="155" t="str">
        <f>C$31</f>
        <v>Consultative Skills</v>
      </c>
      <c r="E156" s="416">
        <f t="shared" ref="E156:N156" si="57">IF($D$20=1,0,(E145-$P145)*$P33*$Y32)</f>
        <v>0</v>
      </c>
      <c r="F156" s="416">
        <f t="shared" si="57"/>
        <v>0</v>
      </c>
      <c r="G156" s="416">
        <f t="shared" si="57"/>
        <v>0</v>
      </c>
      <c r="H156" s="416">
        <f t="shared" si="57"/>
        <v>0</v>
      </c>
      <c r="I156" s="416">
        <f t="shared" si="57"/>
        <v>0</v>
      </c>
      <c r="J156" s="416">
        <f t="shared" si="57"/>
        <v>0</v>
      </c>
      <c r="K156" s="416">
        <f t="shared" si="57"/>
        <v>0</v>
      </c>
      <c r="L156" s="416">
        <f t="shared" si="57"/>
        <v>0</v>
      </c>
      <c r="M156" s="416">
        <f t="shared" si="57"/>
        <v>0</v>
      </c>
      <c r="N156" s="416">
        <f t="shared" si="57"/>
        <v>0</v>
      </c>
    </row>
    <row r="157" spans="3:16" s="147" customFormat="1">
      <c r="C157" s="155" t="str">
        <f>C$36</f>
        <v>Industry Expertise</v>
      </c>
      <c r="E157" s="416">
        <f t="shared" ref="E157:N157" si="58">IF($D$20=1,0,(E146-$P146)*$P38*$Y37)</f>
        <v>0</v>
      </c>
      <c r="F157" s="416">
        <f t="shared" si="58"/>
        <v>0</v>
      </c>
      <c r="G157" s="416">
        <f t="shared" si="58"/>
        <v>0</v>
      </c>
      <c r="H157" s="416">
        <f t="shared" si="58"/>
        <v>0</v>
      </c>
      <c r="I157" s="416">
        <f t="shared" si="58"/>
        <v>0</v>
      </c>
      <c r="J157" s="416">
        <f t="shared" si="58"/>
        <v>0</v>
      </c>
      <c r="K157" s="416">
        <f t="shared" si="58"/>
        <v>0</v>
      </c>
      <c r="L157" s="416">
        <f t="shared" si="58"/>
        <v>0</v>
      </c>
      <c r="M157" s="416">
        <f t="shared" si="58"/>
        <v>0</v>
      </c>
      <c r="N157" s="416">
        <f t="shared" si="58"/>
        <v>0</v>
      </c>
      <c r="P157" s="422"/>
    </row>
    <row r="158" spans="3:16" s="147" customFormat="1">
      <c r="C158" s="155" t="str">
        <f>C$41</f>
        <v>Partner Education</v>
      </c>
      <c r="E158" s="416">
        <f t="shared" ref="E158:N158" si="59">IF($D$20=1,0,(E147-$P147)*$P43*$Y42)</f>
        <v>0</v>
      </c>
      <c r="F158" s="416">
        <f t="shared" si="59"/>
        <v>0</v>
      </c>
      <c r="G158" s="416">
        <f t="shared" si="59"/>
        <v>0</v>
      </c>
      <c r="H158" s="416">
        <f t="shared" si="59"/>
        <v>0</v>
      </c>
      <c r="I158" s="416">
        <f t="shared" si="59"/>
        <v>0</v>
      </c>
      <c r="J158" s="416">
        <f t="shared" si="59"/>
        <v>0</v>
      </c>
      <c r="K158" s="416">
        <f t="shared" si="59"/>
        <v>0</v>
      </c>
      <c r="L158" s="416">
        <f t="shared" si="59"/>
        <v>0</v>
      </c>
      <c r="M158" s="416">
        <f t="shared" si="59"/>
        <v>0</v>
      </c>
      <c r="N158" s="416">
        <f t="shared" si="59"/>
        <v>0</v>
      </c>
    </row>
    <row r="159" spans="3:16" s="147" customFormat="1">
      <c r="C159" s="155" t="str">
        <f>C$46</f>
        <v>Partner Incentives</v>
      </c>
      <c r="E159" s="416">
        <f t="shared" ref="E159:N159" si="60">IF($D$20=1,0,(E148-$P148)*$P48*$Y47)</f>
        <v>0</v>
      </c>
      <c r="F159" s="416">
        <f t="shared" si="60"/>
        <v>0</v>
      </c>
      <c r="G159" s="416">
        <f t="shared" si="60"/>
        <v>0</v>
      </c>
      <c r="H159" s="416">
        <f t="shared" si="60"/>
        <v>0</v>
      </c>
      <c r="I159" s="416">
        <f t="shared" si="60"/>
        <v>0</v>
      </c>
      <c r="J159" s="416">
        <f t="shared" si="60"/>
        <v>0</v>
      </c>
      <c r="K159" s="416">
        <f t="shared" si="60"/>
        <v>0</v>
      </c>
      <c r="L159" s="416">
        <f t="shared" si="60"/>
        <v>0</v>
      </c>
      <c r="M159" s="416">
        <f t="shared" si="60"/>
        <v>0</v>
      </c>
      <c r="N159" s="416">
        <f t="shared" si="60"/>
        <v>0</v>
      </c>
    </row>
    <row r="160" spans="3:16" s="147" customFormat="1">
      <c r="C160" s="155" t="str">
        <f>C$51</f>
        <v>Customer Success</v>
      </c>
      <c r="E160" s="416">
        <f t="shared" ref="E160:N160" si="61">IF($D$20=1,0,(E149-$P149)*$P53*$Y52)</f>
        <v>0</v>
      </c>
      <c r="F160" s="416">
        <f t="shared" si="61"/>
        <v>0</v>
      </c>
      <c r="G160" s="416">
        <f t="shared" si="61"/>
        <v>0</v>
      </c>
      <c r="H160" s="416">
        <f t="shared" si="61"/>
        <v>0</v>
      </c>
      <c r="I160" s="416">
        <f t="shared" si="61"/>
        <v>0</v>
      </c>
      <c r="J160" s="416">
        <f t="shared" si="61"/>
        <v>0</v>
      </c>
      <c r="K160" s="416">
        <f t="shared" si="61"/>
        <v>0</v>
      </c>
      <c r="L160" s="416">
        <f t="shared" si="61"/>
        <v>0</v>
      </c>
      <c r="M160" s="416">
        <f t="shared" si="61"/>
        <v>0</v>
      </c>
      <c r="N160" s="416">
        <f t="shared" si="61"/>
        <v>0</v>
      </c>
    </row>
    <row r="161" spans="1:16" s="147" customFormat="1">
      <c r="C161" s="155" t="str">
        <f>C$56</f>
        <v>Software Engineering FTEs</v>
      </c>
      <c r="E161" s="416">
        <f t="shared" ref="E161:N161" si="62">IF($D$20=1,0,(E150-$P150)*$P58*$Y57)</f>
        <v>0</v>
      </c>
      <c r="F161" s="416">
        <f t="shared" si="62"/>
        <v>0</v>
      </c>
      <c r="G161" s="416">
        <f t="shared" si="62"/>
        <v>0</v>
      </c>
      <c r="H161" s="416">
        <f t="shared" si="62"/>
        <v>0</v>
      </c>
      <c r="I161" s="416">
        <f t="shared" si="62"/>
        <v>0</v>
      </c>
      <c r="J161" s="416">
        <f t="shared" si="62"/>
        <v>0</v>
      </c>
      <c r="K161" s="416">
        <f t="shared" si="62"/>
        <v>0</v>
      </c>
      <c r="L161" s="416">
        <f t="shared" si="62"/>
        <v>0</v>
      </c>
      <c r="M161" s="416">
        <f t="shared" si="62"/>
        <v>0</v>
      </c>
      <c r="N161" s="416">
        <f t="shared" si="62"/>
        <v>0</v>
      </c>
    </row>
    <row r="162" spans="1:16" s="147" customFormat="1">
      <c r="C162" s="155" t="str">
        <f>C$61</f>
        <v>Global Demand Center</v>
      </c>
      <c r="E162" s="416">
        <f t="shared" ref="E162:N162" si="63">IF($D$20=1,0,(E151-$P151)*$P63*$Y62)</f>
        <v>0</v>
      </c>
      <c r="F162" s="416">
        <f t="shared" si="63"/>
        <v>0</v>
      </c>
      <c r="G162" s="416">
        <f t="shared" si="63"/>
        <v>0</v>
      </c>
      <c r="H162" s="416">
        <f t="shared" si="63"/>
        <v>0</v>
      </c>
      <c r="I162" s="416">
        <f t="shared" si="63"/>
        <v>0</v>
      </c>
      <c r="J162" s="416">
        <f t="shared" si="63"/>
        <v>0</v>
      </c>
      <c r="K162" s="416">
        <f t="shared" si="63"/>
        <v>0</v>
      </c>
      <c r="L162" s="416">
        <f t="shared" si="63"/>
        <v>0</v>
      </c>
      <c r="M162" s="416">
        <f t="shared" si="63"/>
        <v>0</v>
      </c>
      <c r="N162" s="416">
        <f t="shared" si="63"/>
        <v>0</v>
      </c>
    </row>
    <row r="163" spans="1:16" s="147" customFormat="1">
      <c r="C163" s="155" t="str">
        <f>C$66</f>
        <v xml:space="preserve">Driver 8 </v>
      </c>
      <c r="E163" s="416">
        <f t="shared" ref="E163:N163" si="64">IF($D$20=1,0,(E152-$P152)*$P68*$Y67)</f>
        <v>0</v>
      </c>
      <c r="F163" s="416">
        <f t="shared" si="64"/>
        <v>0</v>
      </c>
      <c r="G163" s="416">
        <f t="shared" si="64"/>
        <v>0</v>
      </c>
      <c r="H163" s="416">
        <f t="shared" si="64"/>
        <v>0</v>
      </c>
      <c r="I163" s="416">
        <f t="shared" si="64"/>
        <v>0</v>
      </c>
      <c r="J163" s="416">
        <f t="shared" si="64"/>
        <v>0</v>
      </c>
      <c r="K163" s="416">
        <f t="shared" si="64"/>
        <v>0</v>
      </c>
      <c r="L163" s="416">
        <f t="shared" si="64"/>
        <v>0</v>
      </c>
      <c r="M163" s="416">
        <f t="shared" si="64"/>
        <v>0</v>
      </c>
      <c r="N163" s="416">
        <f t="shared" si="64"/>
        <v>0</v>
      </c>
    </row>
    <row r="164" spans="1:16" s="147" customFormat="1">
      <c r="C164" s="155" t="str">
        <f>C$71</f>
        <v xml:space="preserve">Driver 9 </v>
      </c>
      <c r="E164" s="416">
        <f t="shared" ref="E164:N164" si="65">IF($D$20=1,0,(E153-$P153)*$P73*$Y72)</f>
        <v>0</v>
      </c>
      <c r="F164" s="416">
        <f t="shared" si="65"/>
        <v>0</v>
      </c>
      <c r="G164" s="416">
        <f t="shared" si="65"/>
        <v>0</v>
      </c>
      <c r="H164" s="416">
        <f t="shared" si="65"/>
        <v>0</v>
      </c>
      <c r="I164" s="416">
        <f t="shared" si="65"/>
        <v>0</v>
      </c>
      <c r="J164" s="416">
        <f t="shared" si="65"/>
        <v>0</v>
      </c>
      <c r="K164" s="416">
        <f t="shared" si="65"/>
        <v>0</v>
      </c>
      <c r="L164" s="416">
        <f t="shared" si="65"/>
        <v>0</v>
      </c>
      <c r="M164" s="416">
        <f t="shared" si="65"/>
        <v>0</v>
      </c>
      <c r="N164" s="416">
        <f t="shared" si="65"/>
        <v>0</v>
      </c>
    </row>
    <row r="165" spans="1:16" s="147" customFormat="1">
      <c r="C165" s="155" t="str">
        <f>C$76</f>
        <v xml:space="preserve">Driver 10 </v>
      </c>
      <c r="E165" s="416">
        <f t="shared" ref="E165:N165" si="66">IF($D$20=1,0,(E154-$P154)*$P78*$Y77)</f>
        <v>0</v>
      </c>
      <c r="F165" s="416">
        <f t="shared" si="66"/>
        <v>0</v>
      </c>
      <c r="G165" s="416">
        <f t="shared" si="66"/>
        <v>0</v>
      </c>
      <c r="H165" s="416">
        <f t="shared" si="66"/>
        <v>0</v>
      </c>
      <c r="I165" s="416">
        <f t="shared" si="66"/>
        <v>0</v>
      </c>
      <c r="J165" s="416">
        <f t="shared" si="66"/>
        <v>0</v>
      </c>
      <c r="K165" s="416">
        <f t="shared" si="66"/>
        <v>0</v>
      </c>
      <c r="L165" s="416">
        <f t="shared" si="66"/>
        <v>0</v>
      </c>
      <c r="M165" s="416">
        <f t="shared" si="66"/>
        <v>0</v>
      </c>
      <c r="N165" s="416">
        <f t="shared" si="66"/>
        <v>0</v>
      </c>
    </row>
    <row r="166" spans="1:16" s="147" customFormat="1">
      <c r="P166" s="154"/>
    </row>
    <row r="167" spans="1:16" s="149" customFormat="1">
      <c r="A167" s="148"/>
      <c r="C167" s="149" t="s">
        <v>932</v>
      </c>
      <c r="E167" s="150"/>
      <c r="F167" s="150"/>
      <c r="G167" s="150"/>
      <c r="H167" s="150"/>
      <c r="I167" s="150"/>
      <c r="J167" s="150"/>
      <c r="K167" s="150"/>
      <c r="L167" s="150"/>
      <c r="M167" s="150"/>
      <c r="N167" s="150"/>
    </row>
    <row r="169" spans="1:16" s="147" customFormat="1">
      <c r="C169" s="155" t="str">
        <f>C$31&amp;" - Increase"</f>
        <v>Consultative Skills - Increase</v>
      </c>
      <c r="D169" s="421"/>
      <c r="E169" s="416">
        <f t="shared" ref="E169:N169" si="67">IF($D$20=1,0,IF(E33&gt;E31,_xlfn.NORM.DIST(E33,AVERAGE($E33:$N33),IF(_xlfn.STDEV.P($E33:$N33)=0,1,_xlfn.STDEV.P($E33:$N33))*$AE32,TRUE)*$AD32,0))*($P33)</f>
        <v>0</v>
      </c>
      <c r="F169" s="416">
        <f t="shared" si="67"/>
        <v>0</v>
      </c>
      <c r="G169" s="416">
        <f t="shared" si="67"/>
        <v>0</v>
      </c>
      <c r="H169" s="416">
        <f t="shared" si="67"/>
        <v>0</v>
      </c>
      <c r="I169" s="416">
        <f t="shared" si="67"/>
        <v>0</v>
      </c>
      <c r="J169" s="416">
        <f t="shared" si="67"/>
        <v>0</v>
      </c>
      <c r="K169" s="416">
        <f t="shared" si="67"/>
        <v>0</v>
      </c>
      <c r="L169" s="416">
        <f t="shared" si="67"/>
        <v>0</v>
      </c>
      <c r="M169" s="416">
        <f t="shared" si="67"/>
        <v>0</v>
      </c>
      <c r="N169" s="416">
        <f t="shared" si="67"/>
        <v>0</v>
      </c>
    </row>
    <row r="170" spans="1:16" s="147" customFormat="1">
      <c r="C170" s="419" t="str">
        <f>C$31&amp;" - Decrease"</f>
        <v>Consultative Skills - Decrease</v>
      </c>
      <c r="D170" s="420"/>
      <c r="E170" s="417">
        <f t="shared" ref="E170:N170" si="68">IF($D$20=1,0,IF(E31&gt;E33,1/_xlfn.NORM.DIST(E33,AVERAGE($E33:$N33),IF(_xlfn.STDEV.P($E33:$N33)=0,1,_xlfn.STDEV.P($E33:$N33))*$AE33,TRUE)*$AD33,0))*($P33)</f>
        <v>0</v>
      </c>
      <c r="F170" s="417">
        <f t="shared" si="68"/>
        <v>0</v>
      </c>
      <c r="G170" s="417">
        <f t="shared" si="68"/>
        <v>0</v>
      </c>
      <c r="H170" s="417">
        <f t="shared" si="68"/>
        <v>0</v>
      </c>
      <c r="I170" s="417">
        <f t="shared" si="68"/>
        <v>0</v>
      </c>
      <c r="J170" s="417">
        <f t="shared" si="68"/>
        <v>0</v>
      </c>
      <c r="K170" s="417">
        <f t="shared" si="68"/>
        <v>0</v>
      </c>
      <c r="L170" s="417">
        <f t="shared" si="68"/>
        <v>0</v>
      </c>
      <c r="M170" s="417">
        <f t="shared" si="68"/>
        <v>0</v>
      </c>
      <c r="N170" s="417">
        <f t="shared" si="68"/>
        <v>0</v>
      </c>
    </row>
    <row r="171" spans="1:16" s="147" customFormat="1">
      <c r="C171" s="155" t="str">
        <f>C$36&amp;" - Increase"</f>
        <v>Industry Expertise - Increase</v>
      </c>
      <c r="E171" s="416">
        <f t="shared" ref="E171:N171" si="69">IF($D$20=1,0,IF(E38&gt;E36,_xlfn.NORM.DIST(E38,AVERAGE($E38:$N38),IF(_xlfn.STDEV.P($E38:$N38)=0,1,_xlfn.STDEV.P($E38:$N38))*$AE37,TRUE)*$AD37,0))*($P$38)</f>
        <v>0</v>
      </c>
      <c r="F171" s="416">
        <f t="shared" si="69"/>
        <v>0</v>
      </c>
      <c r="G171" s="416">
        <f t="shared" si="69"/>
        <v>0</v>
      </c>
      <c r="H171" s="416">
        <f t="shared" si="69"/>
        <v>0</v>
      </c>
      <c r="I171" s="416">
        <f t="shared" si="69"/>
        <v>0</v>
      </c>
      <c r="J171" s="416">
        <f t="shared" si="69"/>
        <v>0</v>
      </c>
      <c r="K171" s="416">
        <f t="shared" si="69"/>
        <v>0</v>
      </c>
      <c r="L171" s="416">
        <f t="shared" si="69"/>
        <v>0</v>
      </c>
      <c r="M171" s="416">
        <f t="shared" si="69"/>
        <v>0</v>
      </c>
      <c r="N171" s="416">
        <f t="shared" si="69"/>
        <v>0</v>
      </c>
    </row>
    <row r="172" spans="1:16" s="147" customFormat="1">
      <c r="C172" s="419" t="str">
        <f>C$36&amp;" - Decrease"</f>
        <v>Industry Expertise - Decrease</v>
      </c>
      <c r="D172" s="418"/>
      <c r="E172" s="417">
        <f t="shared" ref="E172:N172" si="70">IF($D$20=1,0,IF(E36&gt;E38,1/_xlfn.NORM.DIST(E38,AVERAGE($E38:$N38),IF(_xlfn.STDEV.P($E38:$N38)=0,1,_xlfn.STDEV.P($E38:$N38))*$AE38,TRUE)*$AD38,0))*($P$38)</f>
        <v>0</v>
      </c>
      <c r="F172" s="417">
        <f t="shared" si="70"/>
        <v>0</v>
      </c>
      <c r="G172" s="417">
        <f t="shared" si="70"/>
        <v>0</v>
      </c>
      <c r="H172" s="417">
        <f t="shared" si="70"/>
        <v>0</v>
      </c>
      <c r="I172" s="417">
        <f t="shared" si="70"/>
        <v>0</v>
      </c>
      <c r="J172" s="417">
        <f t="shared" si="70"/>
        <v>0</v>
      </c>
      <c r="K172" s="417">
        <f t="shared" si="70"/>
        <v>0</v>
      </c>
      <c r="L172" s="417">
        <f t="shared" si="70"/>
        <v>0</v>
      </c>
      <c r="M172" s="417">
        <f t="shared" si="70"/>
        <v>0</v>
      </c>
      <c r="N172" s="417">
        <f t="shared" si="70"/>
        <v>0</v>
      </c>
    </row>
    <row r="173" spans="1:16" s="147" customFormat="1">
      <c r="C173" s="155" t="str">
        <f>C$41&amp;" - Increase"</f>
        <v>Partner Education - Increase</v>
      </c>
      <c r="E173" s="416">
        <f t="shared" ref="E173:N173" si="71">IF($D$20=1,0,IF(E43&gt;E41,_xlfn.NORM.DIST(E43,AVERAGE($E43:$N43),IF(_xlfn.STDEV.P($E43:$N43)=0,1,_xlfn.STDEV.P($E43:$N43))*$AE42,TRUE)*$AD42,0))*($P43)</f>
        <v>0</v>
      </c>
      <c r="F173" s="416">
        <f t="shared" si="71"/>
        <v>0</v>
      </c>
      <c r="G173" s="416">
        <f t="shared" si="71"/>
        <v>0</v>
      </c>
      <c r="H173" s="416">
        <f t="shared" si="71"/>
        <v>0</v>
      </c>
      <c r="I173" s="416">
        <f t="shared" si="71"/>
        <v>0</v>
      </c>
      <c r="J173" s="416">
        <f t="shared" si="71"/>
        <v>0</v>
      </c>
      <c r="K173" s="416">
        <f t="shared" si="71"/>
        <v>0</v>
      </c>
      <c r="L173" s="416">
        <f t="shared" si="71"/>
        <v>0</v>
      </c>
      <c r="M173" s="416">
        <f t="shared" si="71"/>
        <v>0</v>
      </c>
      <c r="N173" s="416">
        <f t="shared" si="71"/>
        <v>0</v>
      </c>
    </row>
    <row r="174" spans="1:16" s="147" customFormat="1">
      <c r="C174" s="419" t="str">
        <f>C$41&amp;" - Decrease"</f>
        <v>Partner Education - Decrease</v>
      </c>
      <c r="D174" s="418"/>
      <c r="E174" s="417">
        <f t="shared" ref="E174:N174" si="72">IF($D$20=1,0,IF(E41&gt;E43,1/_xlfn.NORM.DIST(E43,AVERAGE($E43:$N43),IF(_xlfn.STDEV.P($E43:$N43)=0,1,_xlfn.STDEV.P($E43:$N43))*$AE43,TRUE)*$AD43,0))*($P43)</f>
        <v>0</v>
      </c>
      <c r="F174" s="417">
        <f t="shared" si="72"/>
        <v>0</v>
      </c>
      <c r="G174" s="417">
        <f t="shared" si="72"/>
        <v>0</v>
      </c>
      <c r="H174" s="417">
        <f t="shared" si="72"/>
        <v>0</v>
      </c>
      <c r="I174" s="417">
        <f t="shared" si="72"/>
        <v>0</v>
      </c>
      <c r="J174" s="417">
        <f t="shared" si="72"/>
        <v>0</v>
      </c>
      <c r="K174" s="417">
        <f t="shared" si="72"/>
        <v>0</v>
      </c>
      <c r="L174" s="417">
        <f t="shared" si="72"/>
        <v>0</v>
      </c>
      <c r="M174" s="417">
        <f t="shared" si="72"/>
        <v>0</v>
      </c>
      <c r="N174" s="417">
        <f t="shared" si="72"/>
        <v>0</v>
      </c>
    </row>
    <row r="175" spans="1:16" s="147" customFormat="1">
      <c r="C175" s="155" t="str">
        <f>C$46&amp;" - Increase"</f>
        <v>Partner Incentives - Increase</v>
      </c>
      <c r="E175" s="416">
        <f t="shared" ref="E175:N175" si="73">IF($D$20=1,0,IF(E48&gt;E46,_xlfn.NORM.DIST(E48,AVERAGE($E48:$N48),IF(_xlfn.STDEV.P($E48:$N48)=0,1,_xlfn.STDEV.P($E48:$N48))*$AE47,TRUE)*$AD47,0))*($P48)</f>
        <v>0</v>
      </c>
      <c r="F175" s="416">
        <f t="shared" si="73"/>
        <v>0</v>
      </c>
      <c r="G175" s="416">
        <f t="shared" si="73"/>
        <v>0</v>
      </c>
      <c r="H175" s="416">
        <f t="shared" si="73"/>
        <v>0</v>
      </c>
      <c r="I175" s="416">
        <f t="shared" si="73"/>
        <v>0</v>
      </c>
      <c r="J175" s="416">
        <f t="shared" si="73"/>
        <v>0</v>
      </c>
      <c r="K175" s="416">
        <f t="shared" si="73"/>
        <v>0</v>
      </c>
      <c r="L175" s="416">
        <f t="shared" si="73"/>
        <v>0</v>
      </c>
      <c r="M175" s="416">
        <f t="shared" si="73"/>
        <v>0</v>
      </c>
      <c r="N175" s="416">
        <f t="shared" si="73"/>
        <v>0</v>
      </c>
    </row>
    <row r="176" spans="1:16" s="147" customFormat="1">
      <c r="C176" s="419" t="str">
        <f>C$46&amp;" - Decrease"</f>
        <v>Partner Incentives - Decrease</v>
      </c>
      <c r="D176" s="418"/>
      <c r="E176" s="417">
        <f t="shared" ref="E176:N176" si="74">IF($D$20=1,0,IF(E46&gt;E48,1/_xlfn.NORM.DIST(E48,AVERAGE($E48:$N48),IF(_xlfn.STDEV.P($E48:$N48)=0,1,_xlfn.STDEV.P($E48:$N48))*$AE48,TRUE)*$AD48,0))*($P48)</f>
        <v>0</v>
      </c>
      <c r="F176" s="417">
        <f t="shared" si="74"/>
        <v>0</v>
      </c>
      <c r="G176" s="417">
        <f t="shared" si="74"/>
        <v>0</v>
      </c>
      <c r="H176" s="417">
        <f t="shared" si="74"/>
        <v>0</v>
      </c>
      <c r="I176" s="417">
        <f t="shared" si="74"/>
        <v>0</v>
      </c>
      <c r="J176" s="417">
        <f t="shared" si="74"/>
        <v>0</v>
      </c>
      <c r="K176" s="417">
        <f t="shared" si="74"/>
        <v>0</v>
      </c>
      <c r="L176" s="417">
        <f t="shared" si="74"/>
        <v>0</v>
      </c>
      <c r="M176" s="417">
        <f t="shared" si="74"/>
        <v>0</v>
      </c>
      <c r="N176" s="417">
        <f t="shared" si="74"/>
        <v>0</v>
      </c>
    </row>
    <row r="177" spans="3:14" s="147" customFormat="1">
      <c r="C177" s="155" t="str">
        <f>C$51&amp;" - Increase"</f>
        <v>Customer Success - Increase</v>
      </c>
      <c r="E177" s="416">
        <f t="shared" ref="E177:N177" si="75">IF($D$20=1,0,IF(E53&gt;E51,_xlfn.NORM.DIST(E53,AVERAGE($E53:$N53),IF(_xlfn.STDEV.P($E53:$N53)=0,1,_xlfn.STDEV.P($E53:$N53))*$AE52,TRUE)*$AD52,0))*($P53)</f>
        <v>0</v>
      </c>
      <c r="F177" s="416">
        <f t="shared" si="75"/>
        <v>0</v>
      </c>
      <c r="G177" s="416">
        <f t="shared" si="75"/>
        <v>0</v>
      </c>
      <c r="H177" s="416">
        <f t="shared" si="75"/>
        <v>0</v>
      </c>
      <c r="I177" s="416">
        <f t="shared" si="75"/>
        <v>0</v>
      </c>
      <c r="J177" s="416">
        <f t="shared" si="75"/>
        <v>0</v>
      </c>
      <c r="K177" s="416">
        <f t="shared" si="75"/>
        <v>0</v>
      </c>
      <c r="L177" s="416">
        <f t="shared" si="75"/>
        <v>0</v>
      </c>
      <c r="M177" s="416">
        <f t="shared" si="75"/>
        <v>0</v>
      </c>
      <c r="N177" s="416">
        <f t="shared" si="75"/>
        <v>0</v>
      </c>
    </row>
    <row r="178" spans="3:14" s="147" customFormat="1">
      <c r="C178" s="419" t="str">
        <f>C$51&amp;" - Decrease"</f>
        <v>Customer Success - Decrease</v>
      </c>
      <c r="D178" s="418"/>
      <c r="E178" s="417">
        <f t="shared" ref="E178:N178" si="76">IF($D$20=1,0,IF(E51&gt;E53,1/_xlfn.NORM.DIST(E53,AVERAGE($E53:$N53),IF(_xlfn.STDEV.P($E53:$N53)=0,1,_xlfn.STDEV.P($E53:$N53))*$AE53,TRUE)*$AD53,0))*($P53)</f>
        <v>0</v>
      </c>
      <c r="F178" s="417">
        <f t="shared" si="76"/>
        <v>0</v>
      </c>
      <c r="G178" s="417">
        <f t="shared" si="76"/>
        <v>0</v>
      </c>
      <c r="H178" s="417">
        <f t="shared" si="76"/>
        <v>0</v>
      </c>
      <c r="I178" s="417">
        <f t="shared" si="76"/>
        <v>0</v>
      </c>
      <c r="J178" s="417">
        <f t="shared" si="76"/>
        <v>0</v>
      </c>
      <c r="K178" s="417">
        <f t="shared" si="76"/>
        <v>0</v>
      </c>
      <c r="L178" s="417">
        <f t="shared" si="76"/>
        <v>0</v>
      </c>
      <c r="M178" s="417">
        <f t="shared" si="76"/>
        <v>0</v>
      </c>
      <c r="N178" s="417">
        <f t="shared" si="76"/>
        <v>0</v>
      </c>
    </row>
    <row r="179" spans="3:14" s="147" customFormat="1">
      <c r="C179" s="155" t="str">
        <f>C$56&amp;" - Increase"</f>
        <v>Software Engineering FTEs - Increase</v>
      </c>
      <c r="E179" s="416">
        <f t="shared" ref="E179:N179" si="77">IF($D$20=1,0,IF(E58&gt;E56,_xlfn.NORM.DIST(E58,AVERAGE($E58:$N58),IF(_xlfn.STDEV.P($E58:$N58)=0,1,_xlfn.STDEV.P($E58:$N58))*$AE57,TRUE)*$AD57,0))*($P58)</f>
        <v>0</v>
      </c>
      <c r="F179" s="416">
        <f t="shared" si="77"/>
        <v>0</v>
      </c>
      <c r="G179" s="416">
        <f t="shared" si="77"/>
        <v>0</v>
      </c>
      <c r="H179" s="416">
        <f t="shared" si="77"/>
        <v>0</v>
      </c>
      <c r="I179" s="416">
        <f t="shared" si="77"/>
        <v>0</v>
      </c>
      <c r="J179" s="416">
        <f t="shared" si="77"/>
        <v>0</v>
      </c>
      <c r="K179" s="416">
        <f t="shared" si="77"/>
        <v>0</v>
      </c>
      <c r="L179" s="416">
        <f t="shared" si="77"/>
        <v>0</v>
      </c>
      <c r="M179" s="416">
        <f t="shared" si="77"/>
        <v>0</v>
      </c>
      <c r="N179" s="416">
        <f t="shared" si="77"/>
        <v>0</v>
      </c>
    </row>
    <row r="180" spans="3:14" s="147" customFormat="1">
      <c r="C180" s="419" t="str">
        <f>C$56&amp;" - Decrease"</f>
        <v>Software Engineering FTEs - Decrease</v>
      </c>
      <c r="D180" s="418"/>
      <c r="E180" s="417">
        <f t="shared" ref="E180:N180" si="78">IF($D$20=1,0,IF(E56&gt;E58,1/_xlfn.NORM.DIST(E58,AVERAGE($E58:$N58),IF(_xlfn.STDEV.P($E58:$N58)=0,1,_xlfn.STDEV.P($E58:$N58))*$AE58,TRUE)*$AD58,0))*($P58)</f>
        <v>0</v>
      </c>
      <c r="F180" s="417">
        <f t="shared" si="78"/>
        <v>0</v>
      </c>
      <c r="G180" s="417">
        <f t="shared" si="78"/>
        <v>0</v>
      </c>
      <c r="H180" s="417">
        <f t="shared" si="78"/>
        <v>0</v>
      </c>
      <c r="I180" s="417">
        <f t="shared" si="78"/>
        <v>0</v>
      </c>
      <c r="J180" s="417">
        <f t="shared" si="78"/>
        <v>0</v>
      </c>
      <c r="K180" s="417">
        <f t="shared" si="78"/>
        <v>0</v>
      </c>
      <c r="L180" s="417">
        <f t="shared" si="78"/>
        <v>0</v>
      </c>
      <c r="M180" s="417">
        <f t="shared" si="78"/>
        <v>0</v>
      </c>
      <c r="N180" s="417">
        <f t="shared" si="78"/>
        <v>0</v>
      </c>
    </row>
    <row r="181" spans="3:14" s="147" customFormat="1">
      <c r="C181" s="155" t="str">
        <f>C$61&amp;" - Increase"</f>
        <v>Global Demand Center - Increase</v>
      </c>
      <c r="E181" s="416">
        <f t="shared" ref="E181:N181" si="79">IF($D$20=1,0,IF(E63&gt;E61,_xlfn.NORM.DIST(E63,AVERAGE($E63:$N63),IF(_xlfn.STDEV.P($E63:$N63)=0,1,_xlfn.STDEV.P($E63:$N63))*$AE62,TRUE)*$AD62,0))*($P63)</f>
        <v>0</v>
      </c>
      <c r="F181" s="416">
        <f t="shared" si="79"/>
        <v>0</v>
      </c>
      <c r="G181" s="416">
        <f t="shared" si="79"/>
        <v>0</v>
      </c>
      <c r="H181" s="416">
        <f t="shared" si="79"/>
        <v>0</v>
      </c>
      <c r="I181" s="416">
        <f t="shared" si="79"/>
        <v>0</v>
      </c>
      <c r="J181" s="416">
        <f t="shared" si="79"/>
        <v>0</v>
      </c>
      <c r="K181" s="416">
        <f t="shared" si="79"/>
        <v>0</v>
      </c>
      <c r="L181" s="416">
        <f t="shared" si="79"/>
        <v>0</v>
      </c>
      <c r="M181" s="416">
        <f t="shared" si="79"/>
        <v>0</v>
      </c>
      <c r="N181" s="416">
        <f t="shared" si="79"/>
        <v>0</v>
      </c>
    </row>
    <row r="182" spans="3:14" s="147" customFormat="1">
      <c r="C182" s="419" t="str">
        <f>C$61&amp;" - Decrease"</f>
        <v>Global Demand Center - Decrease</v>
      </c>
      <c r="D182" s="418"/>
      <c r="E182" s="417">
        <f t="shared" ref="E182:N182" si="80">IF($D$20=1,0,IF(E61&gt;E63,1/_xlfn.NORM.DIST(E63,AVERAGE($E63:$N63),IF(_xlfn.STDEV.P($E63:$N63)=0,1,_xlfn.STDEV.P($E63:$N63))*$AE63,TRUE)*$AD63,0))*($P63)</f>
        <v>0</v>
      </c>
      <c r="F182" s="417">
        <f t="shared" si="80"/>
        <v>0</v>
      </c>
      <c r="G182" s="417">
        <f t="shared" si="80"/>
        <v>0</v>
      </c>
      <c r="H182" s="417">
        <f t="shared" si="80"/>
        <v>0</v>
      </c>
      <c r="I182" s="417">
        <f t="shared" si="80"/>
        <v>0</v>
      </c>
      <c r="J182" s="417">
        <f t="shared" si="80"/>
        <v>0</v>
      </c>
      <c r="K182" s="417">
        <f t="shared" si="80"/>
        <v>0</v>
      </c>
      <c r="L182" s="417">
        <f t="shared" si="80"/>
        <v>0</v>
      </c>
      <c r="M182" s="417">
        <f t="shared" si="80"/>
        <v>0</v>
      </c>
      <c r="N182" s="417">
        <f t="shared" si="80"/>
        <v>0</v>
      </c>
    </row>
    <row r="183" spans="3:14" s="147" customFormat="1">
      <c r="C183" s="155" t="str">
        <f>C$66&amp;" - Increase"</f>
        <v>Driver 8  - Increase</v>
      </c>
      <c r="E183" s="416">
        <f t="shared" ref="E183:N183" si="81">IF($D$20=1,0,IF(E68&gt;E66,_xlfn.NORM.DIST(E68,AVERAGE($E68:$N68),IF(_xlfn.STDEV.P($E68:$N68)=0,1,_xlfn.STDEV.P($E68:$N68))*$AE67,TRUE)*$AD67,0))*($P68)</f>
        <v>0</v>
      </c>
      <c r="F183" s="416">
        <f t="shared" si="81"/>
        <v>0</v>
      </c>
      <c r="G183" s="416">
        <f t="shared" si="81"/>
        <v>0</v>
      </c>
      <c r="H183" s="416">
        <f t="shared" si="81"/>
        <v>0</v>
      </c>
      <c r="I183" s="416">
        <f t="shared" si="81"/>
        <v>0</v>
      </c>
      <c r="J183" s="416">
        <f t="shared" si="81"/>
        <v>0</v>
      </c>
      <c r="K183" s="416">
        <f t="shared" si="81"/>
        <v>0</v>
      </c>
      <c r="L183" s="416">
        <f t="shared" si="81"/>
        <v>0</v>
      </c>
      <c r="M183" s="416">
        <f t="shared" si="81"/>
        <v>0</v>
      </c>
      <c r="N183" s="416">
        <f t="shared" si="81"/>
        <v>0</v>
      </c>
    </row>
    <row r="184" spans="3:14" s="147" customFormat="1">
      <c r="C184" s="419" t="str">
        <f>C$66&amp;" - Decrease"</f>
        <v>Driver 8  - Decrease</v>
      </c>
      <c r="D184" s="418"/>
      <c r="E184" s="417">
        <f t="shared" ref="E184:N184" si="82">IF($D$20=1,0,IF(E66&gt;E68,1/_xlfn.NORM.DIST(E68,AVERAGE($E68:$N68),IF(_xlfn.STDEV.P($E68:$N68)=0,1,_xlfn.STDEV.P($E68:$N68))*$AE68,TRUE)*$AD68,0))*($P68)</f>
        <v>0</v>
      </c>
      <c r="F184" s="417">
        <f t="shared" si="82"/>
        <v>0</v>
      </c>
      <c r="G184" s="417">
        <f t="shared" si="82"/>
        <v>0</v>
      </c>
      <c r="H184" s="417">
        <f t="shared" si="82"/>
        <v>0</v>
      </c>
      <c r="I184" s="417">
        <f t="shared" si="82"/>
        <v>0</v>
      </c>
      <c r="J184" s="417">
        <f t="shared" si="82"/>
        <v>0</v>
      </c>
      <c r="K184" s="417">
        <f t="shared" si="82"/>
        <v>0</v>
      </c>
      <c r="L184" s="417">
        <f t="shared" si="82"/>
        <v>0</v>
      </c>
      <c r="M184" s="417">
        <f t="shared" si="82"/>
        <v>0</v>
      </c>
      <c r="N184" s="417">
        <f t="shared" si="82"/>
        <v>0</v>
      </c>
    </row>
    <row r="185" spans="3:14" s="147" customFormat="1">
      <c r="C185" s="155" t="str">
        <f>C$71&amp;" - Increase"</f>
        <v>Driver 9  - Increase</v>
      </c>
      <c r="E185" s="416">
        <f t="shared" ref="E185:N185" si="83">IF($D$20=1,0,IF(E73&gt;E71,_xlfn.NORM.DIST(E73,AVERAGE($E73:$N73),IF(_xlfn.STDEV.P($E73:$N73)=0,1,_xlfn.STDEV.P($E73:$N73))*$AE72,TRUE)*$AD72,0))*($P73)</f>
        <v>0</v>
      </c>
      <c r="F185" s="416">
        <f t="shared" si="83"/>
        <v>0</v>
      </c>
      <c r="G185" s="416">
        <f t="shared" si="83"/>
        <v>0</v>
      </c>
      <c r="H185" s="416">
        <f t="shared" si="83"/>
        <v>0</v>
      </c>
      <c r="I185" s="416">
        <f t="shared" si="83"/>
        <v>0</v>
      </c>
      <c r="J185" s="416">
        <f t="shared" si="83"/>
        <v>0</v>
      </c>
      <c r="K185" s="416">
        <f t="shared" si="83"/>
        <v>0</v>
      </c>
      <c r="L185" s="416">
        <f t="shared" si="83"/>
        <v>0</v>
      </c>
      <c r="M185" s="416">
        <f t="shared" si="83"/>
        <v>0</v>
      </c>
      <c r="N185" s="416">
        <f t="shared" si="83"/>
        <v>0</v>
      </c>
    </row>
    <row r="186" spans="3:14" s="147" customFormat="1">
      <c r="C186" s="419" t="str">
        <f>C$71&amp;" - Decrease"</f>
        <v>Driver 9  - Decrease</v>
      </c>
      <c r="D186" s="418"/>
      <c r="E186" s="417">
        <f t="shared" ref="E186:N186" si="84">IF($D$20=1,0,IF(E71&gt;E73,1/_xlfn.NORM.DIST(E73,AVERAGE($E73:$N73),IF(_xlfn.STDEV.P($E73:$N73)=0,1,_xlfn.STDEV.P($E73:$N73))*$AE73,TRUE)*$AD73,0))*($P73)</f>
        <v>0</v>
      </c>
      <c r="F186" s="417">
        <f t="shared" si="84"/>
        <v>0</v>
      </c>
      <c r="G186" s="417">
        <f t="shared" si="84"/>
        <v>0</v>
      </c>
      <c r="H186" s="417">
        <f t="shared" si="84"/>
        <v>0</v>
      </c>
      <c r="I186" s="417">
        <f t="shared" si="84"/>
        <v>0</v>
      </c>
      <c r="J186" s="417">
        <f t="shared" si="84"/>
        <v>0</v>
      </c>
      <c r="K186" s="417">
        <f t="shared" si="84"/>
        <v>0</v>
      </c>
      <c r="L186" s="417">
        <f t="shared" si="84"/>
        <v>0</v>
      </c>
      <c r="M186" s="417">
        <f t="shared" si="84"/>
        <v>0</v>
      </c>
      <c r="N186" s="417">
        <f t="shared" si="84"/>
        <v>0</v>
      </c>
    </row>
    <row r="187" spans="3:14" s="147" customFormat="1">
      <c r="C187" s="155" t="str">
        <f>C$76&amp;" - Increase"</f>
        <v>Driver 10  - Increase</v>
      </c>
      <c r="E187" s="416">
        <f t="shared" ref="E187:N187" si="85">IF($D$20=1,0,IF(E78&gt;E76,_xlfn.NORM.DIST(E78,AVERAGE($E78:$N78),IF(_xlfn.STDEV.P($E78:$N78)=0,1,_xlfn.STDEV.P($E78:$N78))*$AE77,TRUE)*$AD77,0))*($P78)</f>
        <v>0</v>
      </c>
      <c r="F187" s="416">
        <f t="shared" si="85"/>
        <v>0</v>
      </c>
      <c r="G187" s="416">
        <f t="shared" si="85"/>
        <v>0</v>
      </c>
      <c r="H187" s="416">
        <f t="shared" si="85"/>
        <v>0</v>
      </c>
      <c r="I187" s="416">
        <f t="shared" si="85"/>
        <v>0</v>
      </c>
      <c r="J187" s="416">
        <f t="shared" si="85"/>
        <v>0</v>
      </c>
      <c r="K187" s="416">
        <f t="shared" si="85"/>
        <v>0</v>
      </c>
      <c r="L187" s="416">
        <f t="shared" si="85"/>
        <v>0</v>
      </c>
      <c r="M187" s="416">
        <f t="shared" si="85"/>
        <v>0</v>
      </c>
      <c r="N187" s="416">
        <f t="shared" si="85"/>
        <v>0</v>
      </c>
    </row>
    <row r="188" spans="3:14" s="147" customFormat="1">
      <c r="C188" s="155" t="str">
        <f>C$76&amp;" - Decrease"</f>
        <v>Driver 10  - Decrease</v>
      </c>
      <c r="E188" s="416">
        <f t="shared" ref="E188:N188" si="86">IF($D$20=1,0,IF(E76&gt;E78,1/_xlfn.NORM.DIST(E78,AVERAGE($E78:$N78),IF(_xlfn.STDEV.P($E78:$N78)=0,1,_xlfn.STDEV.P($E78:$N78))*$AE78,TRUE)*$AD78,0))*($P78)</f>
        <v>0</v>
      </c>
      <c r="F188" s="416">
        <f t="shared" si="86"/>
        <v>0</v>
      </c>
      <c r="G188" s="416">
        <f t="shared" si="86"/>
        <v>0</v>
      </c>
      <c r="H188" s="416">
        <f t="shared" si="86"/>
        <v>0</v>
      </c>
      <c r="I188" s="416">
        <f t="shared" si="86"/>
        <v>0</v>
      </c>
      <c r="J188" s="416">
        <f t="shared" si="86"/>
        <v>0</v>
      </c>
      <c r="K188" s="416">
        <f t="shared" si="86"/>
        <v>0</v>
      </c>
      <c r="L188" s="416">
        <f t="shared" si="86"/>
        <v>0</v>
      </c>
      <c r="M188" s="416">
        <f t="shared" si="86"/>
        <v>0</v>
      </c>
      <c r="N188" s="416">
        <f t="shared" si="86"/>
        <v>0</v>
      </c>
    </row>
  </sheetData>
  <mergeCells count="2">
    <mergeCell ref="E29:I29"/>
    <mergeCell ref="J29:N29"/>
  </mergeCells>
  <conditionalFormatting sqref="T31:W31 U36:W36 U41:W41 U46:W46 U51:W51 U56:W56 U61:W61 U66:W66 U71:W71 U76:W76">
    <cfRule type="expression" dxfId="409" priority="230">
      <formula>$P31&lt;&gt;"Absolute"</formula>
    </cfRule>
  </conditionalFormatting>
  <conditionalFormatting sqref="T36">
    <cfRule type="expression" dxfId="408" priority="229">
      <formula>$P36&lt;&gt;"Absolute"</formula>
    </cfRule>
  </conditionalFormatting>
  <conditionalFormatting sqref="T41">
    <cfRule type="expression" dxfId="407" priority="228">
      <formula>$P41&lt;&gt;"Absolute"</formula>
    </cfRule>
  </conditionalFormatting>
  <conditionalFormatting sqref="T46">
    <cfRule type="expression" dxfId="406" priority="227">
      <formula>$P46&lt;&gt;"Absolute"</formula>
    </cfRule>
  </conditionalFormatting>
  <conditionalFormatting sqref="T51">
    <cfRule type="expression" dxfId="405" priority="226">
      <formula>$P51&lt;&gt;"Absolute"</formula>
    </cfRule>
  </conditionalFormatting>
  <conditionalFormatting sqref="T56">
    <cfRule type="expression" dxfId="404" priority="225">
      <formula>$P56&lt;&gt;"Absolute"</formula>
    </cfRule>
  </conditionalFormatting>
  <conditionalFormatting sqref="T61">
    <cfRule type="expression" dxfId="403" priority="224">
      <formula>$P61&lt;&gt;"Absolute"</formula>
    </cfRule>
  </conditionalFormatting>
  <conditionalFormatting sqref="R76:S76">
    <cfRule type="expression" dxfId="402" priority="232">
      <formula>$P76&lt;&gt;"Absolute"</formula>
    </cfRule>
  </conditionalFormatting>
  <conditionalFormatting sqref="U32:W32 T37:W37 U42:W42 U47:W47 U52:W52 U57:W57 U62:W62 U67:W67 U72:W72 U77:W77">
    <cfRule type="expression" dxfId="401" priority="220">
      <formula>$P31&lt;&gt;"Absolute"</formula>
    </cfRule>
  </conditionalFormatting>
  <conditionalFormatting sqref="T42">
    <cfRule type="expression" dxfId="400" priority="219">
      <formula>$P41&lt;&gt;"Absolute"</formula>
    </cfRule>
  </conditionalFormatting>
  <conditionalFormatting sqref="T47">
    <cfRule type="expression" dxfId="399" priority="218">
      <formula>$P46&lt;&gt;"Absolute"</formula>
    </cfRule>
  </conditionalFormatting>
  <conditionalFormatting sqref="T52">
    <cfRule type="expression" dxfId="398" priority="217">
      <formula>$P51&lt;&gt;"Absolute"</formula>
    </cfRule>
  </conditionalFormatting>
  <conditionalFormatting sqref="T57">
    <cfRule type="expression" dxfId="397" priority="216">
      <formula>$P56&lt;&gt;"Absolute"</formula>
    </cfRule>
  </conditionalFormatting>
  <conditionalFormatting sqref="T62">
    <cfRule type="expression" dxfId="396" priority="215">
      <formula>$P61&lt;&gt;"Absolute"</formula>
    </cfRule>
  </conditionalFormatting>
  <conditionalFormatting sqref="AD31:AE31">
    <cfRule type="expression" dxfId="395" priority="210">
      <formula>$P31&lt;&gt;"Relative Change"</formula>
    </cfRule>
  </conditionalFormatting>
  <conditionalFormatting sqref="AC32:AE32">
    <cfRule type="expression" dxfId="394" priority="209">
      <formula>$P31&lt;&gt;"Relative Change"</formula>
    </cfRule>
  </conditionalFormatting>
  <conditionalFormatting sqref="AC33:AE34">
    <cfRule type="expression" dxfId="393" priority="208">
      <formula>$P31&lt;&gt;"Relative Change"</formula>
    </cfRule>
  </conditionalFormatting>
  <conditionalFormatting sqref="AD36:AE36">
    <cfRule type="expression" dxfId="392" priority="207">
      <formula>$P36&lt;&gt;"Relative Change"</formula>
    </cfRule>
  </conditionalFormatting>
  <conditionalFormatting sqref="AC37:AE37">
    <cfRule type="expression" dxfId="391" priority="206">
      <formula>$P36&lt;&gt;"Relative Change"</formula>
    </cfRule>
  </conditionalFormatting>
  <conditionalFormatting sqref="AC38:AE38">
    <cfRule type="expression" dxfId="390" priority="205">
      <formula>$P36&lt;&gt;"Relative Change"</formula>
    </cfRule>
  </conditionalFormatting>
  <conditionalFormatting sqref="AD41:AE41">
    <cfRule type="expression" dxfId="389" priority="204">
      <formula>$P41&lt;&gt;"Relative Change"</formula>
    </cfRule>
  </conditionalFormatting>
  <conditionalFormatting sqref="AC42:AE42">
    <cfRule type="expression" dxfId="388" priority="203">
      <formula>$P41&lt;&gt;"Relative Change"</formula>
    </cfRule>
  </conditionalFormatting>
  <conditionalFormatting sqref="AC43:AE43">
    <cfRule type="expression" dxfId="387" priority="202">
      <formula>$P41&lt;&gt;"Relative Change"</formula>
    </cfRule>
  </conditionalFormatting>
  <conditionalFormatting sqref="AD46:AE46">
    <cfRule type="expression" dxfId="386" priority="201">
      <formula>$P46&lt;&gt;"Relative Change"</formula>
    </cfRule>
  </conditionalFormatting>
  <conditionalFormatting sqref="AC47:AE47">
    <cfRule type="expression" dxfId="385" priority="200">
      <formula>$P46&lt;&gt;"Relative Change"</formula>
    </cfRule>
  </conditionalFormatting>
  <conditionalFormatting sqref="AC48:AE48">
    <cfRule type="expression" dxfId="384" priority="199">
      <formula>$P46&lt;&gt;"Relative Change"</formula>
    </cfRule>
  </conditionalFormatting>
  <conditionalFormatting sqref="AD51:AE51">
    <cfRule type="expression" dxfId="383" priority="198">
      <formula>$P51&lt;&gt;"Relative Change"</formula>
    </cfRule>
  </conditionalFormatting>
  <conditionalFormatting sqref="AC52:AE52">
    <cfRule type="expression" dxfId="382" priority="197">
      <formula>$P51&lt;&gt;"Relative Change"</formula>
    </cfRule>
  </conditionalFormatting>
  <conditionalFormatting sqref="AC53:AE53">
    <cfRule type="expression" dxfId="381" priority="196">
      <formula>$P51&lt;&gt;"Relative Change"</formula>
    </cfRule>
  </conditionalFormatting>
  <conditionalFormatting sqref="AD56:AE56">
    <cfRule type="expression" dxfId="380" priority="195">
      <formula>$P56&lt;&gt;"Relative Change"</formula>
    </cfRule>
  </conditionalFormatting>
  <conditionalFormatting sqref="AC57:AE57">
    <cfRule type="expression" dxfId="379" priority="194">
      <formula>$P56&lt;&gt;"Relative Change"</formula>
    </cfRule>
  </conditionalFormatting>
  <conditionalFormatting sqref="AC58:AE58">
    <cfRule type="expression" dxfId="378" priority="193">
      <formula>$P56&lt;&gt;"Relative Change"</formula>
    </cfRule>
  </conditionalFormatting>
  <conditionalFormatting sqref="AD61:AE61">
    <cfRule type="expression" dxfId="377" priority="192">
      <formula>$P61&lt;&gt;"Relative Change"</formula>
    </cfRule>
  </conditionalFormatting>
  <conditionalFormatting sqref="AC62:AE62">
    <cfRule type="expression" dxfId="376" priority="191">
      <formula>$P61&lt;&gt;"Relative Change"</formula>
    </cfRule>
  </conditionalFormatting>
  <conditionalFormatting sqref="AC63:AE63">
    <cfRule type="expression" dxfId="375" priority="190">
      <formula>$P61&lt;&gt;"Relative Change"</formula>
    </cfRule>
  </conditionalFormatting>
  <conditionalFormatting sqref="AD66:AE66">
    <cfRule type="expression" dxfId="374" priority="189">
      <formula>$P66&lt;&gt;"Relative Change"</formula>
    </cfRule>
  </conditionalFormatting>
  <conditionalFormatting sqref="AC67:AE67">
    <cfRule type="expression" dxfId="373" priority="188">
      <formula>$P66&lt;&gt;"Relative Change"</formula>
    </cfRule>
  </conditionalFormatting>
  <conditionalFormatting sqref="AC68:AE68">
    <cfRule type="expression" dxfId="372" priority="187">
      <formula>$P66&lt;&gt;"Relative Change"</formula>
    </cfRule>
  </conditionalFormatting>
  <conditionalFormatting sqref="AD71:AE71">
    <cfRule type="expression" dxfId="371" priority="186">
      <formula>$P71&lt;&gt;"Relative Change"</formula>
    </cfRule>
  </conditionalFormatting>
  <conditionalFormatting sqref="AC72:AE72">
    <cfRule type="expression" dxfId="370" priority="185">
      <formula>$P71&lt;&gt;"Relative Change"</formula>
    </cfRule>
  </conditionalFormatting>
  <conditionalFormatting sqref="AC73:AE73">
    <cfRule type="expression" dxfId="369" priority="184">
      <formula>$P71&lt;&gt;"Relative Change"</formula>
    </cfRule>
  </conditionalFormatting>
  <conditionalFormatting sqref="AC39:AE39">
    <cfRule type="expression" dxfId="368" priority="158">
      <formula>$P37&lt;&gt;"Relative Change"</formula>
    </cfRule>
  </conditionalFormatting>
  <conditionalFormatting sqref="AC44:AE44">
    <cfRule type="expression" dxfId="367" priority="157">
      <formula>$P42&lt;&gt;"Relative Change"</formula>
    </cfRule>
  </conditionalFormatting>
  <conditionalFormatting sqref="AC49:AE49">
    <cfRule type="expression" dxfId="366" priority="156">
      <formula>$P47&lt;&gt;"Relative Change"</formula>
    </cfRule>
  </conditionalFormatting>
  <conditionalFormatting sqref="AC54:AE54">
    <cfRule type="expression" dxfId="365" priority="155">
      <formula>$P52&lt;&gt;"Relative Change"</formula>
    </cfRule>
  </conditionalFormatting>
  <conditionalFormatting sqref="AC59:AE59">
    <cfRule type="expression" dxfId="364" priority="154">
      <formula>$P57&lt;&gt;"Relative Change"</formula>
    </cfRule>
  </conditionalFormatting>
  <conditionalFormatting sqref="AC64:AE64">
    <cfRule type="expression" dxfId="363" priority="153">
      <formula>$P62&lt;&gt;"Relative Change"</formula>
    </cfRule>
  </conditionalFormatting>
  <conditionalFormatting sqref="J31:N31">
    <cfRule type="expression" dxfId="362" priority="126">
      <formula>$P31&lt;&gt;"Relative Change"</formula>
    </cfRule>
  </conditionalFormatting>
  <conditionalFormatting sqref="J32:N32">
    <cfRule type="expression" dxfId="361" priority="125">
      <formula>$P31&lt;&gt;"Absolute"</formula>
    </cfRule>
  </conditionalFormatting>
  <conditionalFormatting sqref="J33:N33">
    <cfRule type="expression" dxfId="360" priority="124">
      <formula>AND($P31&lt;&gt;"Relative",$P31&lt;&gt;"Relative Change")</formula>
    </cfRule>
  </conditionalFormatting>
  <conditionalFormatting sqref="J34:N34">
    <cfRule type="expression" dxfId="359" priority="123">
      <formula>$P31&lt;&gt;"Non-Linear"</formula>
    </cfRule>
  </conditionalFormatting>
  <conditionalFormatting sqref="E46:I46">
    <cfRule type="expression" dxfId="358" priority="93">
      <formula>$P46&lt;&gt;"Relative Change"</formula>
    </cfRule>
  </conditionalFormatting>
  <conditionalFormatting sqref="E47:I47">
    <cfRule type="expression" dxfId="357" priority="92">
      <formula>$P46&lt;&gt;"Absolute"</formula>
    </cfRule>
  </conditionalFormatting>
  <conditionalFormatting sqref="E49:I49">
    <cfRule type="expression" dxfId="356" priority="90">
      <formula>$P46&lt;&gt;"Non-Linear"</formula>
    </cfRule>
  </conditionalFormatting>
  <conditionalFormatting sqref="J46:N46">
    <cfRule type="expression" dxfId="355" priority="89">
      <formula>$P46&lt;&gt;"Relative Change"</formula>
    </cfRule>
  </conditionalFormatting>
  <conditionalFormatting sqref="J47:N47">
    <cfRule type="expression" dxfId="354" priority="88">
      <formula>$P46&lt;&gt;"Absolute"</formula>
    </cfRule>
  </conditionalFormatting>
  <conditionalFormatting sqref="J49:N49">
    <cfRule type="expression" dxfId="353" priority="86">
      <formula>$P46&lt;&gt;"Non-Linear"</formula>
    </cfRule>
  </conditionalFormatting>
  <conditionalFormatting sqref="E51:I51">
    <cfRule type="expression" dxfId="352" priority="81">
      <formula>$P51&lt;&gt;"Relative Change"</formula>
    </cfRule>
  </conditionalFormatting>
  <conditionalFormatting sqref="E52:I52">
    <cfRule type="expression" dxfId="351" priority="80">
      <formula>$P51&lt;&gt;"Absolute"</formula>
    </cfRule>
  </conditionalFormatting>
  <conditionalFormatting sqref="J51:N51">
    <cfRule type="expression" dxfId="350" priority="77">
      <formula>$P51&lt;&gt;"Relative Change"</formula>
    </cfRule>
  </conditionalFormatting>
  <conditionalFormatting sqref="J52:N52">
    <cfRule type="expression" dxfId="349" priority="76">
      <formula>$P51&lt;&gt;"Absolute"</formula>
    </cfRule>
  </conditionalFormatting>
  <conditionalFormatting sqref="J53:N53">
    <cfRule type="expression" dxfId="348" priority="75">
      <formula>AND($P51&lt;&gt;"Relative",$P51&lt;&gt;"Relative Change")</formula>
    </cfRule>
  </conditionalFormatting>
  <conditionalFormatting sqref="E56:I56">
    <cfRule type="expression" dxfId="347" priority="69">
      <formula>$P56&lt;&gt;"Relative Change"</formula>
    </cfRule>
  </conditionalFormatting>
  <conditionalFormatting sqref="E57:I57">
    <cfRule type="expression" dxfId="346" priority="68">
      <formula>$P56&lt;&gt;"Absolute"</formula>
    </cfRule>
  </conditionalFormatting>
  <conditionalFormatting sqref="E58:I58">
    <cfRule type="expression" dxfId="345" priority="67">
      <formula>AND($P56&lt;&gt;"Relative",$P56&lt;&gt;"Relative Change")</formula>
    </cfRule>
  </conditionalFormatting>
  <conditionalFormatting sqref="J56:N56">
    <cfRule type="expression" dxfId="344" priority="65">
      <formula>$P56&lt;&gt;"Relative Change"</formula>
    </cfRule>
  </conditionalFormatting>
  <conditionalFormatting sqref="J57:N57">
    <cfRule type="expression" dxfId="343" priority="64">
      <formula>$P56&lt;&gt;"Absolute"</formula>
    </cfRule>
  </conditionalFormatting>
  <conditionalFormatting sqref="J58:N58">
    <cfRule type="expression" dxfId="342" priority="63">
      <formula>AND($P56&lt;&gt;"Relative",$P56&lt;&gt;"Relative Change")</formula>
    </cfRule>
  </conditionalFormatting>
  <conditionalFormatting sqref="M59:N59">
    <cfRule type="expression" dxfId="341" priority="62">
      <formula>$P56&lt;&gt;"Non-Linear"</formula>
    </cfRule>
  </conditionalFormatting>
  <conditionalFormatting sqref="E61:I61">
    <cfRule type="expression" dxfId="340" priority="57">
      <formula>$P61&lt;&gt;"Relative Change"</formula>
    </cfRule>
  </conditionalFormatting>
  <conditionalFormatting sqref="E62:I62">
    <cfRule type="expression" dxfId="339" priority="56">
      <formula>$P61&lt;&gt;"Absolute"</formula>
    </cfRule>
  </conditionalFormatting>
  <conditionalFormatting sqref="E63:I63">
    <cfRule type="expression" dxfId="338" priority="55">
      <formula>AND($P61&lt;&gt;"Relative",$P61&lt;&gt;"Relative Change")</formula>
    </cfRule>
  </conditionalFormatting>
  <conditionalFormatting sqref="E64:I64">
    <cfRule type="expression" dxfId="337" priority="54">
      <formula>$P61&lt;&gt;"Non-Linear"</formula>
    </cfRule>
  </conditionalFormatting>
  <conditionalFormatting sqref="R32:S32">
    <cfRule type="expression" dxfId="336" priority="251">
      <formula>$P31&lt;&gt;"Absolute"</formula>
    </cfRule>
  </conditionalFormatting>
  <conditionalFormatting sqref="R31:S31">
    <cfRule type="expression" dxfId="335" priority="250">
      <formula>$P31&lt;&gt;"Absolute"</formula>
    </cfRule>
  </conditionalFormatting>
  <conditionalFormatting sqref="R37:S37">
    <cfRule type="expression" dxfId="334" priority="249">
      <formula>$P36&lt;&gt;"Absolute"</formula>
    </cfRule>
  </conditionalFormatting>
  <conditionalFormatting sqref="R36:S36">
    <cfRule type="expression" dxfId="333" priority="248">
      <formula>$P36&lt;&gt;"Absolute"</formula>
    </cfRule>
  </conditionalFormatting>
  <conditionalFormatting sqref="R42:S42">
    <cfRule type="expression" dxfId="332" priority="247">
      <formula>$P41&lt;&gt;"Absolute"</formula>
    </cfRule>
  </conditionalFormatting>
  <conditionalFormatting sqref="R41:S41">
    <cfRule type="expression" dxfId="331" priority="246">
      <formula>$P41&lt;&gt;"Absolute"</formula>
    </cfRule>
  </conditionalFormatting>
  <conditionalFormatting sqref="R47:S47">
    <cfRule type="expression" dxfId="330" priority="245">
      <formula>$P46&lt;&gt;"Absolute"</formula>
    </cfRule>
  </conditionalFormatting>
  <conditionalFormatting sqref="R46:S46">
    <cfRule type="expression" dxfId="329" priority="244">
      <formula>$P46&lt;&gt;"Absolute"</formula>
    </cfRule>
  </conditionalFormatting>
  <conditionalFormatting sqref="R52:S52">
    <cfRule type="expression" dxfId="328" priority="243">
      <formula>$P51&lt;&gt;"Absolute"</formula>
    </cfRule>
  </conditionalFormatting>
  <conditionalFormatting sqref="R51:S51">
    <cfRule type="expression" dxfId="327" priority="242">
      <formula>$P51&lt;&gt;"Absolute"</formula>
    </cfRule>
  </conditionalFormatting>
  <conditionalFormatting sqref="R57:S57">
    <cfRule type="expression" dxfId="326" priority="241">
      <formula>$P56&lt;&gt;"Absolute"</formula>
    </cfRule>
  </conditionalFormatting>
  <conditionalFormatting sqref="R56:S56">
    <cfRule type="expression" dxfId="325" priority="240">
      <formula>$P56&lt;&gt;"Absolute"</formula>
    </cfRule>
  </conditionalFormatting>
  <conditionalFormatting sqref="R62:S62">
    <cfRule type="expression" dxfId="324" priority="239">
      <formula>$P61&lt;&gt;"Absolute"</formula>
    </cfRule>
  </conditionalFormatting>
  <conditionalFormatting sqref="R61:S61">
    <cfRule type="expression" dxfId="323" priority="238">
      <formula>$P61&lt;&gt;"Absolute"</formula>
    </cfRule>
  </conditionalFormatting>
  <conditionalFormatting sqref="R67:S67">
    <cfRule type="expression" dxfId="322" priority="237">
      <formula>$P66&lt;&gt;"Absolute"</formula>
    </cfRule>
  </conditionalFormatting>
  <conditionalFormatting sqref="R66:S66">
    <cfRule type="expression" dxfId="321" priority="236">
      <formula>$P66&lt;&gt;"Absolute"</formula>
    </cfRule>
  </conditionalFormatting>
  <conditionalFormatting sqref="R72:S72">
    <cfRule type="expression" dxfId="320" priority="235">
      <formula>$P71&lt;&gt;"Absolute"</formula>
    </cfRule>
  </conditionalFormatting>
  <conditionalFormatting sqref="R71:S71">
    <cfRule type="expression" dxfId="319" priority="234">
      <formula>$P71&lt;&gt;"Absolute"</formula>
    </cfRule>
  </conditionalFormatting>
  <conditionalFormatting sqref="R77:S77">
    <cfRule type="expression" dxfId="318" priority="233">
      <formula>$P76&lt;&gt;"Absolute"</formula>
    </cfRule>
  </conditionalFormatting>
  <conditionalFormatting sqref="T32">
    <cfRule type="expression" dxfId="317" priority="231">
      <formula>$P31&lt;&gt;"Absolute"</formula>
    </cfRule>
  </conditionalFormatting>
  <conditionalFormatting sqref="T66">
    <cfRule type="expression" dxfId="316" priority="223">
      <formula>$P66&lt;&gt;"Absolute"</formula>
    </cfRule>
  </conditionalFormatting>
  <conditionalFormatting sqref="T71">
    <cfRule type="expression" dxfId="315" priority="222">
      <formula>$P71&lt;&gt;"Absolute"</formula>
    </cfRule>
  </conditionalFormatting>
  <conditionalFormatting sqref="T76">
    <cfRule type="expression" dxfId="314" priority="221">
      <formula>$P76&lt;&gt;"Absolute"</formula>
    </cfRule>
  </conditionalFormatting>
  <conditionalFormatting sqref="T67">
    <cfRule type="expression" dxfId="313" priority="214">
      <formula>$P66&lt;&gt;"Absolute"</formula>
    </cfRule>
  </conditionalFormatting>
  <conditionalFormatting sqref="T72">
    <cfRule type="expression" dxfId="312" priority="213">
      <formula>$P71&lt;&gt;"Absolute"</formula>
    </cfRule>
  </conditionalFormatting>
  <conditionalFormatting sqref="T77">
    <cfRule type="expression" dxfId="311" priority="212">
      <formula>$P76&lt;&gt;"Absolute"</formula>
    </cfRule>
  </conditionalFormatting>
  <conditionalFormatting sqref="E92:I92">
    <cfRule type="colorScale" priority="211">
      <colorScale>
        <cfvo type="min"/>
        <cfvo type="percentile" val="50"/>
        <cfvo type="max"/>
        <color rgb="FFF8696B"/>
        <color rgb="FFFFEB84"/>
        <color rgb="FF63BE7B"/>
      </colorScale>
    </cfRule>
  </conditionalFormatting>
  <conditionalFormatting sqref="AD76:AE76">
    <cfRule type="expression" dxfId="310" priority="183">
      <formula>$P76&lt;&gt;"Relative Change"</formula>
    </cfRule>
  </conditionalFormatting>
  <conditionalFormatting sqref="AC77:AE77">
    <cfRule type="expression" dxfId="309" priority="182">
      <formula>$P76&lt;&gt;"Relative Change"</formula>
    </cfRule>
  </conditionalFormatting>
  <conditionalFormatting sqref="AC78:AE78">
    <cfRule type="expression" dxfId="308" priority="181">
      <formula>$P76&lt;&gt;"Relative Change"</formula>
    </cfRule>
  </conditionalFormatting>
  <conditionalFormatting sqref="P32">
    <cfRule type="expression" dxfId="307" priority="180">
      <formula>OR($P31="Absolute",$P31="Non-Linear")</formula>
    </cfRule>
  </conditionalFormatting>
  <conditionalFormatting sqref="P33">
    <cfRule type="expression" dxfId="306" priority="179">
      <formula>OR($P31="Absolute",$P31="Non-Linear")</formula>
    </cfRule>
  </conditionalFormatting>
  <conditionalFormatting sqref="Y31:Z31">
    <cfRule type="expression" dxfId="305" priority="178">
      <formula>$P31&lt;&gt;"Relative"</formula>
    </cfRule>
  </conditionalFormatting>
  <conditionalFormatting sqref="Y32:Z32">
    <cfRule type="expression" dxfId="304" priority="177">
      <formula>$P31&lt;&gt;"Relative"</formula>
    </cfRule>
  </conditionalFormatting>
  <conditionalFormatting sqref="Y36:Z36">
    <cfRule type="expression" dxfId="303" priority="176">
      <formula>$P36&lt;&gt;"Relative"</formula>
    </cfRule>
  </conditionalFormatting>
  <conditionalFormatting sqref="Y37:Z37">
    <cfRule type="expression" dxfId="302" priority="175">
      <formula>$P36&lt;&gt;"Relative"</formula>
    </cfRule>
  </conditionalFormatting>
  <conditionalFormatting sqref="Y41:Z41">
    <cfRule type="expression" dxfId="301" priority="174">
      <formula>$P41&lt;&gt;"Relative"</formula>
    </cfRule>
  </conditionalFormatting>
  <conditionalFormatting sqref="Y42:Z42">
    <cfRule type="expression" dxfId="300" priority="173">
      <formula>$P41&lt;&gt;"Relative"</formula>
    </cfRule>
  </conditionalFormatting>
  <conditionalFormatting sqref="Y46:Z46">
    <cfRule type="expression" dxfId="299" priority="172">
      <formula>$P46&lt;&gt;"Relative"</formula>
    </cfRule>
  </conditionalFormatting>
  <conditionalFormatting sqref="Y47:Z47">
    <cfRule type="expression" dxfId="298" priority="171">
      <formula>$P46&lt;&gt;"Relative"</formula>
    </cfRule>
  </conditionalFormatting>
  <conditionalFormatting sqref="Y51:Z51">
    <cfRule type="expression" dxfId="297" priority="170">
      <formula>$P51&lt;&gt;"Relative"</formula>
    </cfRule>
  </conditionalFormatting>
  <conditionalFormatting sqref="Y52:Z52">
    <cfRule type="expression" dxfId="296" priority="169">
      <formula>$P51&lt;&gt;"Relative"</formula>
    </cfRule>
  </conditionalFormatting>
  <conditionalFormatting sqref="Y56:Z56">
    <cfRule type="expression" dxfId="295" priority="168">
      <formula>$P56&lt;&gt;"Relative"</formula>
    </cfRule>
  </conditionalFormatting>
  <conditionalFormatting sqref="Y57:Z57">
    <cfRule type="expression" dxfId="294" priority="167">
      <formula>$P56&lt;&gt;"Relative"</formula>
    </cfRule>
  </conditionalFormatting>
  <conditionalFormatting sqref="Y61:Z61">
    <cfRule type="expression" dxfId="293" priority="166">
      <formula>$P61&lt;&gt;"Relative"</formula>
    </cfRule>
  </conditionalFormatting>
  <conditionalFormatting sqref="Y62:Z62">
    <cfRule type="expression" dxfId="292" priority="165">
      <formula>$P61&lt;&gt;"Relative"</formula>
    </cfRule>
  </conditionalFormatting>
  <conditionalFormatting sqref="Y66:Z66">
    <cfRule type="expression" dxfId="291" priority="164">
      <formula>$P66&lt;&gt;"Relative"</formula>
    </cfRule>
  </conditionalFormatting>
  <conditionalFormatting sqref="Y67:Z67">
    <cfRule type="expression" dxfId="290" priority="163">
      <formula>$P66&lt;&gt;"Relative"</formula>
    </cfRule>
  </conditionalFormatting>
  <conditionalFormatting sqref="Y71:Z71">
    <cfRule type="expression" dxfId="289" priority="162">
      <formula>$P71&lt;&gt;"Relative"</formula>
    </cfRule>
  </conditionalFormatting>
  <conditionalFormatting sqref="Y72:Z72">
    <cfRule type="expression" dxfId="288" priority="161">
      <formula>$P71&lt;&gt;"Relative"</formula>
    </cfRule>
  </conditionalFormatting>
  <conditionalFormatting sqref="Y76:Z76">
    <cfRule type="expression" dxfId="287" priority="160">
      <formula>$P76&lt;&gt;"Relative"</formula>
    </cfRule>
  </conditionalFormatting>
  <conditionalFormatting sqref="Y77:Z77">
    <cfRule type="expression" dxfId="286" priority="159">
      <formula>$P76&lt;&gt;"Relative"</formula>
    </cfRule>
  </conditionalFormatting>
  <conditionalFormatting sqref="AC69:AE69">
    <cfRule type="expression" dxfId="285" priority="152">
      <formula>$P67&lt;&gt;"Relative Change"</formula>
    </cfRule>
  </conditionalFormatting>
  <conditionalFormatting sqref="AC74:AE74">
    <cfRule type="expression" dxfId="284" priority="151">
      <formula>$P72&lt;&gt;"Relative Change"</formula>
    </cfRule>
  </conditionalFormatting>
  <conditionalFormatting sqref="AC79:AE79">
    <cfRule type="expression" dxfId="283" priority="150">
      <formula>$P77&lt;&gt;"Relative Change"</formula>
    </cfRule>
  </conditionalFormatting>
  <conditionalFormatting sqref="P37">
    <cfRule type="expression" dxfId="282" priority="149">
      <formula>OR($P36="Absolute",$P36="Non-Linear")</formula>
    </cfRule>
  </conditionalFormatting>
  <conditionalFormatting sqref="P38">
    <cfRule type="expression" dxfId="281" priority="148">
      <formula>OR($P36="Absolute",$P36="Non-Linear")</formula>
    </cfRule>
  </conditionalFormatting>
  <conditionalFormatting sqref="P42">
    <cfRule type="expression" dxfId="280" priority="147">
      <formula>OR($P41="Absolute",$P41="Non-Linear")</formula>
    </cfRule>
  </conditionalFormatting>
  <conditionalFormatting sqref="P43">
    <cfRule type="expression" dxfId="279" priority="146">
      <formula>OR($P41="Absolute",$P41="Non-Linear")</formula>
    </cfRule>
  </conditionalFormatting>
  <conditionalFormatting sqref="P47">
    <cfRule type="expression" dxfId="278" priority="145">
      <formula>OR($P46="Absolute",$P46="Non-Linear")</formula>
    </cfRule>
  </conditionalFormatting>
  <conditionalFormatting sqref="P48">
    <cfRule type="expression" dxfId="277" priority="144">
      <formula>OR($P46="Absolute",$P46="Non-Linear")</formula>
    </cfRule>
  </conditionalFormatting>
  <conditionalFormatting sqref="P52">
    <cfRule type="expression" dxfId="276" priority="143">
      <formula>OR($P51="Absolute",$P51="Non-Linear")</formula>
    </cfRule>
  </conditionalFormatting>
  <conditionalFormatting sqref="P53">
    <cfRule type="expression" dxfId="275" priority="142">
      <formula>OR($P51="Absolute",$P51="Non-Linear")</formula>
    </cfRule>
  </conditionalFormatting>
  <conditionalFormatting sqref="P57">
    <cfRule type="expression" dxfId="274" priority="141">
      <formula>OR($P56="Absolute",$P56="Non-Linear")</formula>
    </cfRule>
  </conditionalFormatting>
  <conditionalFormatting sqref="P58">
    <cfRule type="expression" dxfId="273" priority="140">
      <formula>OR($P56="Absolute",$P56="Non-Linear")</formula>
    </cfRule>
  </conditionalFormatting>
  <conditionalFormatting sqref="P62">
    <cfRule type="expression" dxfId="272" priority="139">
      <formula>OR($P61="Absolute",$P61="Non-Linear")</formula>
    </cfRule>
  </conditionalFormatting>
  <conditionalFormatting sqref="P63">
    <cfRule type="expression" dxfId="271" priority="138">
      <formula>OR($P61="Absolute",$P61="Non-Linear")</formula>
    </cfRule>
  </conditionalFormatting>
  <conditionalFormatting sqref="P67">
    <cfRule type="expression" dxfId="270" priority="137">
      <formula>OR($P66="Absolute",$P66="Non-Linear")</formula>
    </cfRule>
  </conditionalFormatting>
  <conditionalFormatting sqref="P68">
    <cfRule type="expression" dxfId="269" priority="136">
      <formula>OR($P66="Absolute",$P66="Non-Linear")</formula>
    </cfRule>
  </conditionalFormatting>
  <conditionalFormatting sqref="P72">
    <cfRule type="expression" dxfId="268" priority="135">
      <formula>OR($P71="Absolute",$P71="Non-Linear")</formula>
    </cfRule>
  </conditionalFormatting>
  <conditionalFormatting sqref="P73">
    <cfRule type="expression" dxfId="267" priority="134">
      <formula>OR($P71="Absolute",$P71="Non-Linear")</formula>
    </cfRule>
  </conditionalFormatting>
  <conditionalFormatting sqref="P77">
    <cfRule type="expression" dxfId="266" priority="133">
      <formula>OR($P76="Absolute",$P76="Non-Linear")</formula>
    </cfRule>
  </conditionalFormatting>
  <conditionalFormatting sqref="P78">
    <cfRule type="expression" dxfId="265" priority="132">
      <formula>OR($P76="Absolute",$P76="Non-Linear")</formula>
    </cfRule>
  </conditionalFormatting>
  <conditionalFormatting sqref="E31:I31">
    <cfRule type="expression" dxfId="264" priority="131">
      <formula>$P31&lt;&gt;"Relative Change"</formula>
    </cfRule>
  </conditionalFormatting>
  <conditionalFormatting sqref="E32:I32">
    <cfRule type="expression" dxfId="263" priority="130">
      <formula>$P31&lt;&gt;"Absolute"</formula>
    </cfRule>
  </conditionalFormatting>
  <conditionalFormatting sqref="E33:I33">
    <cfRule type="expression" dxfId="262" priority="129">
      <formula>AND($P31&lt;&gt;"Relative",$P31&lt;&gt;"Relative Change")</formula>
    </cfRule>
  </conditionalFormatting>
  <conditionalFormatting sqref="E34:I34">
    <cfRule type="expression" dxfId="261" priority="128">
      <formula>$P31&lt;&gt;"Non-Linear"</formula>
    </cfRule>
  </conditionalFormatting>
  <conditionalFormatting sqref="J92:N92">
    <cfRule type="colorScale" priority="127">
      <colorScale>
        <cfvo type="min"/>
        <cfvo type="percentile" val="50"/>
        <cfvo type="max"/>
        <color rgb="FFF8696B"/>
        <color rgb="FFFFEB84"/>
        <color rgb="FF63BE7B"/>
      </colorScale>
    </cfRule>
  </conditionalFormatting>
  <conditionalFormatting sqref="E66:I66">
    <cfRule type="expression" dxfId="260" priority="45">
      <formula>$P66&lt;&gt;"Relative Change"</formula>
    </cfRule>
  </conditionalFormatting>
  <conditionalFormatting sqref="E67:I67">
    <cfRule type="expression" dxfId="259" priority="44">
      <formula>$P66&lt;&gt;"Absolute"</formula>
    </cfRule>
  </conditionalFormatting>
  <conditionalFormatting sqref="E68:I68">
    <cfRule type="expression" dxfId="258" priority="43">
      <formula>AND($P66&lt;&gt;"Relative",$P66&lt;&gt;"Relative Change")</formula>
    </cfRule>
  </conditionalFormatting>
  <conditionalFormatting sqref="E69:I69">
    <cfRule type="expression" dxfId="257" priority="42">
      <formula>$P66&lt;&gt;"Non-Linear"</formula>
    </cfRule>
  </conditionalFormatting>
  <conditionalFormatting sqref="E53:I53">
    <cfRule type="expression" dxfId="256" priority="79">
      <formula>AND($P51&lt;&gt;"Relative",$P51&lt;&gt;"Relative Change")</formula>
    </cfRule>
  </conditionalFormatting>
  <conditionalFormatting sqref="E41:I41">
    <cfRule type="expression" dxfId="255" priority="105">
      <formula>$P41&lt;&gt;"Relative Change"</formula>
    </cfRule>
  </conditionalFormatting>
  <conditionalFormatting sqref="E42:I42">
    <cfRule type="expression" dxfId="254" priority="104">
      <formula>$P41&lt;&gt;"Absolute"</formula>
    </cfRule>
  </conditionalFormatting>
  <conditionalFormatting sqref="E43:I43">
    <cfRule type="expression" dxfId="253" priority="103">
      <formula>AND($P41&lt;&gt;"Relative",$P41&lt;&gt;"Relative Change")</formula>
    </cfRule>
  </conditionalFormatting>
  <conditionalFormatting sqref="E44:I44">
    <cfRule type="expression" dxfId="252" priority="102">
      <formula>$P41&lt;&gt;"Non-Linear"</formula>
    </cfRule>
  </conditionalFormatting>
  <conditionalFormatting sqref="J36:N36">
    <cfRule type="expression" dxfId="251" priority="113">
      <formula>$P36&lt;&gt;"Relative Change"</formula>
    </cfRule>
  </conditionalFormatting>
  <conditionalFormatting sqref="J37:N37">
    <cfRule type="expression" dxfId="250" priority="112">
      <formula>$P36&lt;&gt;"Absolute"</formula>
    </cfRule>
  </conditionalFormatting>
  <conditionalFormatting sqref="J39:N39">
    <cfRule type="expression" dxfId="249" priority="110">
      <formula>$P36&lt;&gt;"Non-Linear"</formula>
    </cfRule>
  </conditionalFormatting>
  <conditionalFormatting sqref="E76:I76">
    <cfRule type="expression" dxfId="248" priority="21">
      <formula>$P76&lt;&gt;"Relative Change"</formula>
    </cfRule>
  </conditionalFormatting>
  <conditionalFormatting sqref="E77:I77">
    <cfRule type="expression" dxfId="247" priority="20">
      <formula>$P76&lt;&gt;"Absolute"</formula>
    </cfRule>
  </conditionalFormatting>
  <conditionalFormatting sqref="E78:I78">
    <cfRule type="expression" dxfId="246" priority="19">
      <formula>AND($P76&lt;&gt;"Relative",$P76&lt;&gt;"Relative Change")</formula>
    </cfRule>
  </conditionalFormatting>
  <conditionalFormatting sqref="E79:I79">
    <cfRule type="expression" dxfId="245" priority="18">
      <formula>$P76&lt;&gt;"Non-Linear"</formula>
    </cfRule>
  </conditionalFormatting>
  <conditionalFormatting sqref="J76:N76">
    <cfRule type="expression" dxfId="244" priority="17">
      <formula>$P76&lt;&gt;"Relative Change"</formula>
    </cfRule>
  </conditionalFormatting>
  <conditionalFormatting sqref="J77:N77">
    <cfRule type="expression" dxfId="243" priority="16">
      <formula>$P76&lt;&gt;"Absolute"</formula>
    </cfRule>
  </conditionalFormatting>
  <conditionalFormatting sqref="J78:N78">
    <cfRule type="expression" dxfId="242" priority="15">
      <formula>AND($P76&lt;&gt;"Relative",$P76&lt;&gt;"Relative Change")</formula>
    </cfRule>
  </conditionalFormatting>
  <conditionalFormatting sqref="J79:N79">
    <cfRule type="expression" dxfId="241" priority="14">
      <formula>$P76&lt;&gt;"Non-Linear"</formula>
    </cfRule>
  </conditionalFormatting>
  <conditionalFormatting sqref="E36:I36">
    <cfRule type="expression" dxfId="240" priority="117">
      <formula>$P36&lt;&gt;"Relative Change"</formula>
    </cfRule>
  </conditionalFormatting>
  <conditionalFormatting sqref="E37:I37">
    <cfRule type="expression" dxfId="239" priority="116">
      <formula>$P36&lt;&gt;"Absolute"</formula>
    </cfRule>
  </conditionalFormatting>
  <conditionalFormatting sqref="E39:I39">
    <cfRule type="expression" dxfId="238" priority="114">
      <formula>$P36&lt;&gt;"Non-Linear"</formula>
    </cfRule>
  </conditionalFormatting>
  <conditionalFormatting sqref="J41:N41">
    <cfRule type="expression" dxfId="237" priority="101">
      <formula>$P41&lt;&gt;"Relative Change"</formula>
    </cfRule>
  </conditionalFormatting>
  <conditionalFormatting sqref="J42:N42">
    <cfRule type="expression" dxfId="236" priority="100">
      <formula>$P41&lt;&gt;"Absolute"</formula>
    </cfRule>
  </conditionalFormatting>
  <conditionalFormatting sqref="J43:N43">
    <cfRule type="expression" dxfId="235" priority="99">
      <formula>AND($P41&lt;&gt;"Relative",$P41&lt;&gt;"Relative Change")</formula>
    </cfRule>
  </conditionalFormatting>
  <conditionalFormatting sqref="J44:N44">
    <cfRule type="expression" dxfId="234" priority="98">
      <formula>$P41&lt;&gt;"Non-Linear"</formula>
    </cfRule>
  </conditionalFormatting>
  <conditionalFormatting sqref="J61:N61">
    <cfRule type="expression" dxfId="233" priority="53">
      <formula>$P61&lt;&gt;"Relative Change"</formula>
    </cfRule>
  </conditionalFormatting>
  <conditionalFormatting sqref="J62:N62">
    <cfRule type="expression" dxfId="232" priority="52">
      <formula>$P61&lt;&gt;"Absolute"</formula>
    </cfRule>
  </conditionalFormatting>
  <conditionalFormatting sqref="J63:N63">
    <cfRule type="expression" dxfId="231" priority="51">
      <formula>AND($P61&lt;&gt;"Relative",$P61&lt;&gt;"Relative Change")</formula>
    </cfRule>
  </conditionalFormatting>
  <conditionalFormatting sqref="J64:N64">
    <cfRule type="expression" dxfId="230" priority="50">
      <formula>$P61&lt;&gt;"Non-Linear"</formula>
    </cfRule>
  </conditionalFormatting>
  <conditionalFormatting sqref="J66:N66">
    <cfRule type="expression" dxfId="229" priority="41">
      <formula>$P66&lt;&gt;"Relative Change"</formula>
    </cfRule>
  </conditionalFormatting>
  <conditionalFormatting sqref="J67:N67">
    <cfRule type="expression" dxfId="228" priority="40">
      <formula>$P66&lt;&gt;"Absolute"</formula>
    </cfRule>
  </conditionalFormatting>
  <conditionalFormatting sqref="J68:N68">
    <cfRule type="expression" dxfId="227" priority="39">
      <formula>AND($P66&lt;&gt;"Relative",$P66&lt;&gt;"Relative Change")</formula>
    </cfRule>
  </conditionalFormatting>
  <conditionalFormatting sqref="J69:N69">
    <cfRule type="expression" dxfId="226" priority="38">
      <formula>$P66&lt;&gt;"Non-Linear"</formula>
    </cfRule>
  </conditionalFormatting>
  <conditionalFormatting sqref="E71:I71">
    <cfRule type="expression" dxfId="225" priority="33">
      <formula>$P71&lt;&gt;"Relative Change"</formula>
    </cfRule>
  </conditionalFormatting>
  <conditionalFormatting sqref="E72:I72">
    <cfRule type="expression" dxfId="224" priority="32">
      <formula>$P71&lt;&gt;"Absolute"</formula>
    </cfRule>
  </conditionalFormatting>
  <conditionalFormatting sqref="E73:I73">
    <cfRule type="expression" dxfId="223" priority="31">
      <formula>AND($P71&lt;&gt;"Relative",$P71&lt;&gt;"Relative Change")</formula>
    </cfRule>
  </conditionalFormatting>
  <conditionalFormatting sqref="E74:I74">
    <cfRule type="expression" dxfId="222" priority="30">
      <formula>$P71&lt;&gt;"Non-Linear"</formula>
    </cfRule>
  </conditionalFormatting>
  <conditionalFormatting sqref="J71:N71">
    <cfRule type="expression" dxfId="221" priority="29">
      <formula>$P71&lt;&gt;"Relative Change"</formula>
    </cfRule>
  </conditionalFormatting>
  <conditionalFormatting sqref="J72:N72">
    <cfRule type="expression" dxfId="220" priority="28">
      <formula>$P71&lt;&gt;"Absolute"</formula>
    </cfRule>
  </conditionalFormatting>
  <conditionalFormatting sqref="J73:N73">
    <cfRule type="expression" dxfId="219" priority="27">
      <formula>AND($P71&lt;&gt;"Relative",$P71&lt;&gt;"Relative Change")</formula>
    </cfRule>
  </conditionalFormatting>
  <conditionalFormatting sqref="J74:N74">
    <cfRule type="expression" dxfId="218" priority="26">
      <formula>$P71&lt;&gt;"Non-Linear"</formula>
    </cfRule>
  </conditionalFormatting>
  <conditionalFormatting sqref="J38:N38">
    <cfRule type="expression" dxfId="217" priority="8">
      <formula>AND($P36&lt;&gt;"Relative",$P36&lt;&gt;"Relative Change")</formula>
    </cfRule>
  </conditionalFormatting>
  <conditionalFormatting sqref="E38:I38">
    <cfRule type="expression" dxfId="216" priority="9">
      <formula>AND($P36&lt;&gt;"Relative",$P36&lt;&gt;"Relative Change")</formula>
    </cfRule>
  </conditionalFormatting>
  <conditionalFormatting sqref="E48:I48">
    <cfRule type="expression" dxfId="215" priority="7">
      <formula>AND($P46&lt;&gt;"Relative",$P46&lt;&gt;"Relative Change")</formula>
    </cfRule>
  </conditionalFormatting>
  <conditionalFormatting sqref="J48:N48">
    <cfRule type="expression" dxfId="214" priority="6">
      <formula>AND($P46&lt;&gt;"Relative",$P46&lt;&gt;"Relative Change")</formula>
    </cfRule>
  </conditionalFormatting>
  <conditionalFormatting sqref="E54:I54">
    <cfRule type="expression" dxfId="213" priority="5">
      <formula>$P51&lt;&gt;"Non-Linear"</formula>
    </cfRule>
  </conditionalFormatting>
  <conditionalFormatting sqref="J54:N54">
    <cfRule type="expression" dxfId="212" priority="4">
      <formula>$P51&lt;&gt;"Non-Linear"</formula>
    </cfRule>
  </conditionalFormatting>
  <conditionalFormatting sqref="R43">
    <cfRule type="expression" dxfId="211" priority="3">
      <formula>$P42&lt;&gt;"Absolute"</formula>
    </cfRule>
  </conditionalFormatting>
  <conditionalFormatting sqref="E59:I59">
    <cfRule type="expression" dxfId="210" priority="2">
      <formula>$P56&lt;&gt;"Non-Linear"</formula>
    </cfRule>
  </conditionalFormatting>
  <conditionalFormatting sqref="J59:L59">
    <cfRule type="expression" dxfId="209" priority="1">
      <formula>$P56&lt;&gt;"Non-Linear"</formula>
    </cfRule>
  </conditionalFormatting>
  <dataValidations disablePrompts="1" count="2">
    <dataValidation type="list" allowBlank="1" showInputMessage="1" showErrorMessage="1" sqref="P41 P36 P46 P76 P51 P56 P31 P66 P71 P61">
      <formula1>"Absolute, Non-Linear, Relative, Relative Change"</formula1>
    </dataValidation>
    <dataValidation type="list" allowBlank="1" showInputMessage="1" showErrorMessage="1" sqref="P73 P33 P38 P43 P48 P53 P58 P63 P68 P78">
      <formula1>"+1,-1"</formula1>
    </dataValidation>
  </dataValidations>
  <hyperlinks>
    <hyperlink ref="D5" r:id="rId1"/>
  </hyperlinks>
  <pageMargins left="0.7" right="0.7" top="0.75" bottom="0.75" header="0.3" footer="0.3"/>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2"/>
  </sheetPr>
  <dimension ref="A1:AG188"/>
  <sheetViews>
    <sheetView tabSelected="1" topLeftCell="A30" workbookViewId="0">
      <selection activeCell="S37" sqref="S37"/>
    </sheetView>
  </sheetViews>
  <sheetFormatPr defaultColWidth="5.90625" defaultRowHeight="13.8"/>
  <cols>
    <col min="1" max="1" width="1.08984375" style="158" customWidth="1"/>
    <col min="2" max="2" width="0.7265625" style="158" customWidth="1"/>
    <col min="3" max="3" width="18.453125" style="158" customWidth="1"/>
    <col min="4" max="4" width="12.1796875" style="158" customWidth="1"/>
    <col min="5" max="14" width="9.36328125" style="158" customWidth="1"/>
    <col min="15" max="15" width="2.1796875" style="158" customWidth="1"/>
    <col min="16" max="16" width="13.36328125" style="158" customWidth="1"/>
    <col min="17" max="17" width="2.1796875" style="158" customWidth="1"/>
    <col min="18" max="23" width="7" style="158" customWidth="1"/>
    <col min="24" max="24" width="2.1796875" style="158" customWidth="1"/>
    <col min="25" max="27" width="7" style="158" customWidth="1"/>
    <col min="28" max="28" width="5.90625" style="158" customWidth="1"/>
    <col min="29" max="29" width="8.90625" style="158" customWidth="1"/>
    <col min="30" max="30" width="7" style="158" customWidth="1"/>
    <col min="31" max="31" width="9" style="158" bestFit="1" customWidth="1"/>
    <col min="32" max="16384" width="5.90625" style="158"/>
  </cols>
  <sheetData>
    <row r="1" spans="1:28" s="874" customFormat="1" ht="16.2">
      <c r="A1" s="873" t="s">
        <v>394</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8"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2647</v>
      </c>
      <c r="P2" s="875"/>
      <c r="Q2" s="875"/>
      <c r="R2" s="875"/>
      <c r="S2" s="875"/>
      <c r="U2" s="873"/>
    </row>
    <row r="3" spans="1:28" s="460" customFormat="1">
      <c r="C3" s="461"/>
      <c r="D3" s="461"/>
      <c r="F3" s="461"/>
      <c r="H3" s="461"/>
      <c r="K3" s="461"/>
      <c r="M3" s="461"/>
      <c r="P3" s="461"/>
    </row>
    <row r="4" spans="1:28" s="460" customFormat="1">
      <c r="C4" s="461"/>
      <c r="D4" s="461"/>
      <c r="F4" s="461"/>
      <c r="H4" s="461"/>
      <c r="K4" s="461"/>
      <c r="M4" s="461"/>
      <c r="P4" s="461"/>
    </row>
    <row r="5" spans="1:28" s="460" customFormat="1">
      <c r="C5" s="460" t="s">
        <v>358</v>
      </c>
      <c r="D5" s="145" t="s">
        <v>382</v>
      </c>
      <c r="F5" s="146"/>
      <c r="H5" s="146"/>
      <c r="K5" s="146"/>
      <c r="M5" s="146"/>
      <c r="P5" s="146"/>
    </row>
    <row r="6" spans="1:28" s="147" customFormat="1">
      <c r="P6" s="154"/>
    </row>
    <row r="7" spans="1:28" s="149" customFormat="1">
      <c r="A7" s="148"/>
      <c r="C7" s="149" t="s">
        <v>356</v>
      </c>
      <c r="E7" s="150"/>
      <c r="F7" s="150"/>
      <c r="G7" s="150"/>
      <c r="H7" s="150"/>
      <c r="I7" s="150"/>
      <c r="J7" s="150"/>
      <c r="K7" s="150"/>
      <c r="L7" s="150"/>
      <c r="M7" s="150"/>
      <c r="N7" s="150"/>
    </row>
    <row r="8" spans="1:28" s="147" customFormat="1">
      <c r="P8" s="154"/>
    </row>
    <row r="9" spans="1:28" s="147" customFormat="1">
      <c r="C9" s="151" t="s">
        <v>383</v>
      </c>
      <c r="D9" s="151"/>
      <c r="H9" s="152" t="s">
        <v>384</v>
      </c>
      <c r="M9" s="152" t="s">
        <v>384</v>
      </c>
    </row>
    <row r="10" spans="1:28" s="147" customFormat="1">
      <c r="C10" s="153"/>
      <c r="D10" s="154" t="s">
        <v>385</v>
      </c>
      <c r="H10" s="459"/>
      <c r="I10" s="154" t="s">
        <v>386</v>
      </c>
      <c r="M10" s="459"/>
      <c r="N10" s="154" t="s">
        <v>386</v>
      </c>
    </row>
    <row r="11" spans="1:28" s="147" customFormat="1">
      <c r="C11" s="156"/>
      <c r="D11" s="154" t="s">
        <v>354</v>
      </c>
    </row>
    <row r="12" spans="1:28" s="147" customFormat="1">
      <c r="C12" s="157"/>
      <c r="D12" s="154" t="s">
        <v>387</v>
      </c>
    </row>
    <row r="13" spans="1:28">
      <c r="B13" s="159"/>
      <c r="D13" s="160"/>
      <c r="E13" s="161"/>
      <c r="F13" s="161"/>
      <c r="G13" s="161"/>
      <c r="H13" s="161"/>
      <c r="I13" s="161"/>
      <c r="J13" s="161"/>
      <c r="K13" s="161"/>
      <c r="L13" s="161"/>
      <c r="M13" s="161"/>
      <c r="N13" s="161"/>
    </row>
    <row r="14" spans="1:28" s="149" customFormat="1" ht="20.100000000000001" customHeight="1">
      <c r="C14" s="162" t="s">
        <v>113</v>
      </c>
      <c r="D14" s="163"/>
      <c r="E14" s="163"/>
      <c r="F14" s="163"/>
      <c r="G14" s="163"/>
      <c r="H14" s="163"/>
      <c r="I14" s="163"/>
      <c r="J14" s="163"/>
      <c r="K14" s="163"/>
      <c r="L14" s="163"/>
      <c r="M14" s="163"/>
      <c r="N14" s="163"/>
      <c r="O14" s="163"/>
      <c r="P14" s="163"/>
      <c r="Q14" s="163"/>
      <c r="R14" s="163"/>
      <c r="S14" s="163"/>
      <c r="T14" s="163"/>
      <c r="U14" s="163"/>
      <c r="V14" s="163"/>
      <c r="X14" s="163"/>
      <c r="AB14" s="163"/>
    </row>
    <row r="15" spans="1:28" s="147" customFormat="1">
      <c r="P15" s="154"/>
    </row>
    <row r="16" spans="1:28" s="149" customFormat="1">
      <c r="A16" s="148"/>
      <c r="C16" s="149" t="s">
        <v>428</v>
      </c>
      <c r="E16" s="150"/>
      <c r="F16" s="150"/>
      <c r="G16" s="150"/>
      <c r="H16" s="150"/>
      <c r="I16" s="150"/>
      <c r="J16" s="150"/>
      <c r="K16" s="150"/>
      <c r="L16" s="150"/>
      <c r="M16" s="150"/>
      <c r="N16" s="150"/>
    </row>
    <row r="17" spans="1:33">
      <c r="B17" s="159"/>
      <c r="D17" s="160"/>
      <c r="E17" s="161"/>
      <c r="F17" s="161"/>
      <c r="G17" s="161"/>
      <c r="H17" s="161"/>
      <c r="I17" s="161"/>
      <c r="J17" s="161"/>
      <c r="K17" s="161"/>
      <c r="L17" s="161"/>
      <c r="M17" s="161"/>
      <c r="N17" s="161"/>
    </row>
    <row r="18" spans="1:33">
      <c r="B18" s="159"/>
      <c r="C18" s="158" t="s">
        <v>975</v>
      </c>
      <c r="D18" s="171" t="s">
        <v>394</v>
      </c>
      <c r="E18" s="161"/>
      <c r="F18" s="161"/>
      <c r="G18" s="161"/>
      <c r="H18" s="161"/>
      <c r="I18" s="161"/>
      <c r="J18" s="161"/>
      <c r="K18" s="161"/>
      <c r="L18" s="161"/>
      <c r="M18" s="161"/>
      <c r="N18" s="161"/>
    </row>
    <row r="19" spans="1:33" s="147" customFormat="1" ht="6" customHeight="1"/>
    <row r="20" spans="1:33">
      <c r="B20" s="159"/>
      <c r="C20" s="158" t="s">
        <v>973</v>
      </c>
      <c r="D20" s="430">
        <f>xxSim0Tool1</f>
        <v>1</v>
      </c>
      <c r="E20" s="458" t="s">
        <v>972</v>
      </c>
      <c r="F20" s="161"/>
      <c r="G20" s="161"/>
      <c r="H20" s="161"/>
      <c r="I20" s="161"/>
      <c r="J20" s="458" t="s">
        <v>972</v>
      </c>
      <c r="K20" s="161"/>
      <c r="L20" s="161"/>
      <c r="M20" s="161"/>
      <c r="N20" s="161"/>
    </row>
    <row r="21" spans="1:33" s="147" customFormat="1" ht="6" customHeight="1"/>
    <row r="22" spans="1:33">
      <c r="B22" s="159"/>
      <c r="C22" s="158" t="s">
        <v>971</v>
      </c>
      <c r="D22" s="430">
        <f>xxRound</f>
        <v>1</v>
      </c>
      <c r="E22" s="458" t="s">
        <v>970</v>
      </c>
      <c r="F22" s="161"/>
      <c r="G22" s="161"/>
      <c r="H22" s="161"/>
      <c r="I22" s="161"/>
      <c r="J22" s="458" t="s">
        <v>970</v>
      </c>
      <c r="K22" s="161"/>
      <c r="L22" s="161"/>
      <c r="M22" s="161"/>
      <c r="N22" s="161"/>
    </row>
    <row r="23" spans="1:33" s="147" customFormat="1">
      <c r="P23" s="154"/>
    </row>
    <row r="24" spans="1:33" s="149" customFormat="1">
      <c r="A24" s="148"/>
      <c r="C24" s="149" t="s">
        <v>969</v>
      </c>
      <c r="E24" s="150"/>
      <c r="F24" s="150"/>
      <c r="G24" s="150"/>
      <c r="H24" s="150"/>
      <c r="I24" s="150"/>
      <c r="J24" s="150"/>
      <c r="K24" s="150"/>
      <c r="L24" s="150"/>
      <c r="M24" s="150"/>
      <c r="N24" s="150"/>
    </row>
    <row r="25" spans="1:33">
      <c r="B25" s="159"/>
      <c r="C25" s="457" t="s">
        <v>968</v>
      </c>
      <c r="D25" s="160"/>
      <c r="E25" s="161"/>
      <c r="F25" s="161"/>
      <c r="G25" s="161"/>
      <c r="H25" s="161"/>
      <c r="I25" s="161"/>
      <c r="J25" s="161"/>
      <c r="K25" s="161"/>
      <c r="L25" s="161"/>
      <c r="M25" s="161"/>
      <c r="N25" s="161"/>
    </row>
    <row r="26" spans="1:33">
      <c r="B26" s="159"/>
      <c r="D26" s="160"/>
      <c r="E26" s="161"/>
      <c r="F26" s="161"/>
      <c r="G26" s="161"/>
      <c r="H26" s="161"/>
      <c r="I26" s="161"/>
      <c r="J26" s="161"/>
      <c r="K26" s="161"/>
      <c r="L26" s="161"/>
      <c r="M26" s="161"/>
      <c r="N26" s="161"/>
    </row>
    <row r="27" spans="1:33" s="147" customFormat="1">
      <c r="C27" s="147" t="str">
        <f>"Opening "&amp;$D$18</f>
        <v>Opening WHI</v>
      </c>
      <c r="E27" s="724">
        <f t="shared" ref="E27:N27" si="0">obalWHI</f>
        <v>80</v>
      </c>
      <c r="F27" s="724">
        <f t="shared" si="0"/>
        <v>80</v>
      </c>
      <c r="G27" s="724">
        <f t="shared" si="0"/>
        <v>80</v>
      </c>
      <c r="H27" s="724">
        <f t="shared" si="0"/>
        <v>80</v>
      </c>
      <c r="I27" s="724">
        <f t="shared" si="0"/>
        <v>80</v>
      </c>
      <c r="J27" s="724">
        <f t="shared" si="0"/>
        <v>80</v>
      </c>
      <c r="K27" s="724">
        <f t="shared" si="0"/>
        <v>80</v>
      </c>
      <c r="L27" s="724">
        <f t="shared" si="0"/>
        <v>80</v>
      </c>
      <c r="M27" s="724">
        <f t="shared" si="0"/>
        <v>80</v>
      </c>
      <c r="N27" s="724">
        <f t="shared" si="0"/>
        <v>80</v>
      </c>
      <c r="O27" s="428" t="s">
        <v>967</v>
      </c>
    </row>
    <row r="28" spans="1:33" s="147" customFormat="1"/>
    <row r="29" spans="1:33" s="147" customFormat="1">
      <c r="C29" s="151" t="s">
        <v>966</v>
      </c>
      <c r="E29" s="1305" t="s">
        <v>965</v>
      </c>
      <c r="F29" s="1305"/>
      <c r="G29" s="1305"/>
      <c r="H29" s="1305"/>
      <c r="I29" s="1305"/>
      <c r="J29" s="1305" t="s">
        <v>965</v>
      </c>
      <c r="K29" s="1305"/>
      <c r="L29" s="1305"/>
      <c r="M29" s="1305"/>
      <c r="N29" s="1305"/>
      <c r="O29" s="151"/>
      <c r="P29" s="151" t="s">
        <v>964</v>
      </c>
      <c r="Q29" s="151"/>
      <c r="R29" s="151" t="s">
        <v>963</v>
      </c>
      <c r="X29" s="151"/>
      <c r="Y29" s="151" t="s">
        <v>962</v>
      </c>
      <c r="AB29" s="151"/>
      <c r="AC29" s="151" t="s">
        <v>961</v>
      </c>
    </row>
    <row r="30" spans="1:33" s="147" customFormat="1" ht="6" customHeight="1">
      <c r="R30" s="456"/>
      <c r="S30" s="455"/>
      <c r="T30" s="455"/>
      <c r="U30" s="455"/>
      <c r="V30" s="455"/>
      <c r="W30" s="454"/>
      <c r="Y30" s="456"/>
      <c r="Z30" s="455"/>
      <c r="AA30" s="454"/>
    </row>
    <row r="31" spans="1:33" s="147" customFormat="1">
      <c r="C31" s="700" t="s">
        <v>1000</v>
      </c>
      <c r="D31" s="147" t="s">
        <v>952</v>
      </c>
      <c r="E31" s="453">
        <v>5</v>
      </c>
      <c r="F31" s="452">
        <v>5</v>
      </c>
      <c r="G31" s="452">
        <v>5</v>
      </c>
      <c r="H31" s="452">
        <v>5</v>
      </c>
      <c r="I31" s="452">
        <v>5</v>
      </c>
      <c r="J31" s="452">
        <v>5</v>
      </c>
      <c r="K31" s="452">
        <v>5</v>
      </c>
      <c r="L31" s="452">
        <v>5</v>
      </c>
      <c r="M31" s="452">
        <v>5</v>
      </c>
      <c r="N31" s="452">
        <v>5</v>
      </c>
      <c r="P31" s="451" t="s">
        <v>959</v>
      </c>
      <c r="R31" s="449" t="s">
        <v>784</v>
      </c>
      <c r="S31" s="448" t="s">
        <v>783</v>
      </c>
      <c r="T31" s="448" t="s">
        <v>782</v>
      </c>
      <c r="U31" s="448" t="s">
        <v>781</v>
      </c>
      <c r="V31" s="448" t="s">
        <v>780</v>
      </c>
      <c r="W31" s="450" t="s">
        <v>779</v>
      </c>
      <c r="Y31" s="449" t="s">
        <v>951</v>
      </c>
      <c r="Z31" s="448" t="s">
        <v>114</v>
      </c>
      <c r="AA31" s="438"/>
      <c r="AC31" s="456"/>
      <c r="AD31" s="455" t="s">
        <v>951</v>
      </c>
      <c r="AE31" s="454" t="s">
        <v>114</v>
      </c>
    </row>
    <row r="32" spans="1:33" s="147" customFormat="1">
      <c r="D32" s="147" t="s">
        <v>950</v>
      </c>
      <c r="E32" s="443">
        <v>3</v>
      </c>
      <c r="F32" s="442">
        <v>3</v>
      </c>
      <c r="G32" s="442">
        <v>3</v>
      </c>
      <c r="H32" s="442">
        <v>3</v>
      </c>
      <c r="I32" s="442">
        <v>3</v>
      </c>
      <c r="J32" s="442">
        <v>3</v>
      </c>
      <c r="K32" s="442">
        <v>3</v>
      </c>
      <c r="L32" s="442">
        <v>3</v>
      </c>
      <c r="M32" s="442">
        <v>3</v>
      </c>
      <c r="N32" s="442">
        <v>3</v>
      </c>
      <c r="P32" s="447" t="s">
        <v>191</v>
      </c>
      <c r="R32" s="445">
        <v>-3</v>
      </c>
      <c r="S32" s="436">
        <v>-1</v>
      </c>
      <c r="T32" s="436">
        <v>-0.5</v>
      </c>
      <c r="U32" s="436">
        <v>0</v>
      </c>
      <c r="V32" s="436">
        <v>1</v>
      </c>
      <c r="W32" s="446">
        <v>3</v>
      </c>
      <c r="Y32" s="445">
        <v>2</v>
      </c>
      <c r="Z32" s="444">
        <v>1</v>
      </c>
      <c r="AA32" s="438"/>
      <c r="AC32" s="437" t="s">
        <v>949</v>
      </c>
      <c r="AD32" s="436">
        <v>2</v>
      </c>
      <c r="AE32" s="435">
        <v>1</v>
      </c>
      <c r="AF32" s="434"/>
      <c r="AG32" s="434"/>
    </row>
    <row r="33" spans="3:33" s="147" customFormat="1">
      <c r="D33" s="147" t="s">
        <v>948</v>
      </c>
      <c r="E33" s="443">
        <f t="shared" ref="E33:N33" si="1">E32+E31</f>
        <v>8</v>
      </c>
      <c r="F33" s="442">
        <f t="shared" si="1"/>
        <v>8</v>
      </c>
      <c r="G33" s="442">
        <f t="shared" si="1"/>
        <v>8</v>
      </c>
      <c r="H33" s="442">
        <f t="shared" si="1"/>
        <v>8</v>
      </c>
      <c r="I33" s="442">
        <f t="shared" si="1"/>
        <v>8</v>
      </c>
      <c r="J33" s="442">
        <f t="shared" si="1"/>
        <v>8</v>
      </c>
      <c r="K33" s="442">
        <f t="shared" si="1"/>
        <v>8</v>
      </c>
      <c r="L33" s="442">
        <f t="shared" si="1"/>
        <v>8</v>
      </c>
      <c r="M33" s="442">
        <f t="shared" si="1"/>
        <v>8</v>
      </c>
      <c r="N33" s="442">
        <f t="shared" si="1"/>
        <v>8</v>
      </c>
      <c r="P33" s="441">
        <v>1</v>
      </c>
      <c r="R33" s="437"/>
      <c r="S33" s="433"/>
      <c r="T33" s="433"/>
      <c r="U33" s="433"/>
      <c r="V33" s="433"/>
      <c r="W33" s="438"/>
      <c r="Y33" s="437"/>
      <c r="Z33" s="433"/>
      <c r="AA33" s="438"/>
      <c r="AC33" s="437" t="s">
        <v>947</v>
      </c>
      <c r="AD33" s="436">
        <v>-0.3</v>
      </c>
      <c r="AE33" s="435">
        <v>2</v>
      </c>
      <c r="AF33" s="434"/>
      <c r="AG33" s="434"/>
    </row>
    <row r="34" spans="3:33" s="147" customFormat="1">
      <c r="D34" s="147" t="s">
        <v>946</v>
      </c>
      <c r="E34" s="1205">
        <f t="shared" ref="E34:N34" ca="1" si="2">IF(xxNumOfTeams&gt;0,((cbalExecution-obalExecution)*100)*$R34,0)</f>
        <v>-0.45362499999999917</v>
      </c>
      <c r="F34" s="1206">
        <f t="shared" ca="1" si="2"/>
        <v>-0.45362499999999917</v>
      </c>
      <c r="G34" s="1206">
        <f t="shared" ca="1" si="2"/>
        <v>-0.45362499999999917</v>
      </c>
      <c r="H34" s="1206">
        <f t="shared" ca="1" si="2"/>
        <v>-0.45362499999999917</v>
      </c>
      <c r="I34" s="1206">
        <f t="shared" ca="1" si="2"/>
        <v>-0.45362499999999917</v>
      </c>
      <c r="J34" s="1206">
        <f t="shared" ca="1" si="2"/>
        <v>-0.45362499999999917</v>
      </c>
      <c r="K34" s="1206">
        <f t="shared" ca="1" si="2"/>
        <v>-0.45362499999999917</v>
      </c>
      <c r="L34" s="1206">
        <f t="shared" ca="1" si="2"/>
        <v>-0.45362499999999917</v>
      </c>
      <c r="M34" s="1206">
        <f t="shared" ca="1" si="2"/>
        <v>-0.45362499999999917</v>
      </c>
      <c r="N34" s="1206">
        <f t="shared" ca="1" si="2"/>
        <v>-0.45362499999999917</v>
      </c>
      <c r="O34" s="428"/>
      <c r="R34" s="930">
        <v>0.25</v>
      </c>
      <c r="S34" s="433"/>
      <c r="T34" s="433"/>
      <c r="U34" s="433"/>
      <c r="V34" s="433"/>
      <c r="W34" s="438"/>
      <c r="Y34" s="437"/>
      <c r="Z34" s="433"/>
      <c r="AA34" s="438"/>
      <c r="AC34" s="437"/>
      <c r="AD34" s="436"/>
      <c r="AE34" s="435"/>
      <c r="AF34" s="434"/>
      <c r="AG34" s="434"/>
    </row>
    <row r="35" spans="3:33" s="147" customFormat="1">
      <c r="E35" s="433"/>
      <c r="F35" s="433"/>
      <c r="G35" s="433"/>
      <c r="H35" s="433"/>
      <c r="I35" s="433"/>
      <c r="J35" s="433"/>
      <c r="K35" s="433"/>
      <c r="L35" s="433"/>
      <c r="M35" s="433"/>
      <c r="N35" s="433"/>
      <c r="R35" s="437"/>
      <c r="S35" s="433"/>
      <c r="T35" s="433"/>
      <c r="U35" s="433"/>
      <c r="V35" s="433"/>
      <c r="W35" s="438"/>
      <c r="Y35" s="437"/>
      <c r="Z35" s="433"/>
      <c r="AA35" s="438"/>
      <c r="AC35" s="437"/>
      <c r="AD35" s="433"/>
      <c r="AE35" s="438"/>
    </row>
    <row r="36" spans="3:33" s="147" customFormat="1">
      <c r="C36" s="700" t="s">
        <v>457</v>
      </c>
      <c r="D36" s="147" t="s">
        <v>952</v>
      </c>
      <c r="E36" s="453">
        <v>5</v>
      </c>
      <c r="F36" s="452">
        <v>5</v>
      </c>
      <c r="G36" s="452">
        <v>5</v>
      </c>
      <c r="H36" s="452">
        <v>5</v>
      </c>
      <c r="I36" s="452">
        <v>5</v>
      </c>
      <c r="J36" s="452">
        <v>5</v>
      </c>
      <c r="K36" s="452">
        <v>5</v>
      </c>
      <c r="L36" s="452">
        <v>5</v>
      </c>
      <c r="M36" s="452">
        <v>5</v>
      </c>
      <c r="N36" s="452">
        <v>5</v>
      </c>
      <c r="P36" s="451" t="s">
        <v>959</v>
      </c>
      <c r="R36" s="449" t="s">
        <v>784</v>
      </c>
      <c r="S36" s="448" t="s">
        <v>783</v>
      </c>
      <c r="T36" s="448" t="s">
        <v>782</v>
      </c>
      <c r="U36" s="448" t="s">
        <v>781</v>
      </c>
      <c r="V36" s="448" t="s">
        <v>780</v>
      </c>
      <c r="W36" s="450" t="s">
        <v>779</v>
      </c>
      <c r="Y36" s="449" t="s">
        <v>951</v>
      </c>
      <c r="Z36" s="448" t="s">
        <v>114</v>
      </c>
      <c r="AA36" s="438"/>
      <c r="AC36" s="437"/>
      <c r="AD36" s="433" t="s">
        <v>951</v>
      </c>
      <c r="AE36" s="438" t="s">
        <v>114</v>
      </c>
    </row>
    <row r="37" spans="3:33" s="147" customFormat="1">
      <c r="D37" s="147" t="s">
        <v>950</v>
      </c>
      <c r="E37" s="443">
        <v>3</v>
      </c>
      <c r="F37" s="442">
        <v>3</v>
      </c>
      <c r="G37" s="442">
        <v>3</v>
      </c>
      <c r="H37" s="442">
        <v>3</v>
      </c>
      <c r="I37" s="442">
        <v>3</v>
      </c>
      <c r="J37" s="442">
        <v>3</v>
      </c>
      <c r="K37" s="442">
        <v>3</v>
      </c>
      <c r="L37" s="442">
        <v>3</v>
      </c>
      <c r="M37" s="442">
        <v>3</v>
      </c>
      <c r="N37" s="442">
        <v>3</v>
      </c>
      <c r="P37" s="447" t="s">
        <v>191</v>
      </c>
      <c r="R37" s="445">
        <v>-3</v>
      </c>
      <c r="S37" s="436">
        <v>-1</v>
      </c>
      <c r="T37" s="436">
        <v>-0.5</v>
      </c>
      <c r="U37" s="436">
        <v>0</v>
      </c>
      <c r="V37" s="436">
        <v>1</v>
      </c>
      <c r="W37" s="446">
        <v>3</v>
      </c>
      <c r="Y37" s="445">
        <v>10</v>
      </c>
      <c r="Z37" s="444">
        <v>1</v>
      </c>
      <c r="AA37" s="438"/>
      <c r="AC37" s="437" t="s">
        <v>949</v>
      </c>
      <c r="AD37" s="436">
        <v>2</v>
      </c>
      <c r="AE37" s="435">
        <v>1</v>
      </c>
    </row>
    <row r="38" spans="3:33" s="147" customFormat="1">
      <c r="D38" s="147" t="s">
        <v>948</v>
      </c>
      <c r="E38" s="443">
        <f>IF(xxNumOfTeams&gt;0,cbalCommercialSkill1+cbalCommercialSkill2+cbalCommercialSkill3+cbalConsumerSkill1+cbalConsumerSkill2,0)</f>
        <v>28</v>
      </c>
      <c r="F38" s="442">
        <f>IF(xxNumOfTeams&gt;1,cbalCommercialSkill1+cbalCommercialSkill2+cbalCommercialSkill3+cbalConsumerSkill1+cbalConsumerSkill2,1)</f>
        <v>28</v>
      </c>
      <c r="G38" s="442">
        <f>IF(xxNumOfTeams&gt;2,cbalCommercialSkill1+cbalCommercialSkill2+cbalCommercialSkill3+cbalConsumerSkill1+cbalConsumerSkill2,2)</f>
        <v>28</v>
      </c>
      <c r="H38" s="442">
        <f>IF(xxNumOfTeams&gt;3,cbalCommercialSkill1+cbalCommercialSkill2+cbalCommercialSkill3+cbalConsumerSkill1+cbalConsumerSkill2,3)</f>
        <v>28</v>
      </c>
      <c r="I38" s="442">
        <f>IF(xxNumOfTeams&gt;4,cbalCommercialSkill1+cbalCommercialSkill2+cbalCommercialSkill3+cbalConsumerSkill1+cbalConsumerSkill2,4)</f>
        <v>28</v>
      </c>
      <c r="J38" s="442">
        <f>IF(xxNumOfTeams&gt;5,cbalCommercialSkill1+cbalCommercialSkill2+cbalCommercialSkill3+cbalConsumerSkill1+cbalConsumerSkill2,5)</f>
        <v>28</v>
      </c>
      <c r="K38" s="442">
        <f>IF(xxNumOfTeams&gt;6,cbalCommercialSkill1+cbalCommercialSkill2+cbalCommercialSkill3+cbalConsumerSkill1+cbalConsumerSkill2,6)</f>
        <v>28</v>
      </c>
      <c r="L38" s="442">
        <f>IF(xxNumOfTeams&gt;7,cbalCommercialSkill1+cbalCommercialSkill2+cbalCommercialSkill3+cbalConsumerSkill1+cbalConsumerSkill2,7)</f>
        <v>28</v>
      </c>
      <c r="M38" s="442">
        <f>IF(xxNumOfTeams&gt;8,cbalCommercialSkill1+cbalCommercialSkill2+cbalCommercialSkill3+cbalConsumerSkill1+cbalConsumerSkill2,8)</f>
        <v>28</v>
      </c>
      <c r="N38" s="442">
        <f>IF(xxNumOfTeams&gt;9,cbalCommercialSkill1+cbalCommercialSkill2+cbalCommercialSkill3+cbalConsumerSkill1+cbalConsumerSkill2,9)</f>
        <v>28</v>
      </c>
      <c r="P38" s="441">
        <v>1</v>
      </c>
      <c r="R38" s="437"/>
      <c r="S38" s="433"/>
      <c r="T38" s="433"/>
      <c r="U38" s="433"/>
      <c r="V38" s="433"/>
      <c r="W38" s="438"/>
      <c r="Y38" s="437"/>
      <c r="Z38" s="433"/>
      <c r="AA38" s="438"/>
      <c r="AC38" s="437" t="s">
        <v>947</v>
      </c>
      <c r="AD38" s="436">
        <v>-0.3</v>
      </c>
      <c r="AE38" s="435">
        <v>2</v>
      </c>
    </row>
    <row r="39" spans="3:33" s="147" customFormat="1">
      <c r="D39" s="147" t="s">
        <v>946</v>
      </c>
      <c r="E39" s="440">
        <f t="shared" ref="E39:N39" si="3">((cbalCommercialSkill1+cbalCommercialSkill2+cbalCommercialSkill3+cbalConsumerSkill1+cbalConsumerSkill2)-(obalCommercialSkill1+obalCommercialSkill2+obalCommercialSkill3+obalConsumerSkill1+obalConsumerSkill2))*$R39</f>
        <v>0</v>
      </c>
      <c r="F39" s="439">
        <f t="shared" si="3"/>
        <v>0</v>
      </c>
      <c r="G39" s="439">
        <f t="shared" si="3"/>
        <v>0</v>
      </c>
      <c r="H39" s="439">
        <f t="shared" si="3"/>
        <v>0</v>
      </c>
      <c r="I39" s="439">
        <f t="shared" si="3"/>
        <v>0</v>
      </c>
      <c r="J39" s="439">
        <f t="shared" si="3"/>
        <v>0</v>
      </c>
      <c r="K39" s="439">
        <f t="shared" si="3"/>
        <v>0</v>
      </c>
      <c r="L39" s="439">
        <f t="shared" si="3"/>
        <v>0</v>
      </c>
      <c r="M39" s="439">
        <f t="shared" si="3"/>
        <v>0</v>
      </c>
      <c r="N39" s="439">
        <f t="shared" si="3"/>
        <v>0</v>
      </c>
      <c r="O39" s="428"/>
      <c r="R39" s="930">
        <v>0.1</v>
      </c>
      <c r="S39" s="433"/>
      <c r="T39" s="433"/>
      <c r="U39" s="433"/>
      <c r="V39" s="433"/>
      <c r="W39" s="438"/>
      <c r="Y39" s="437"/>
      <c r="Z39" s="433"/>
      <c r="AA39" s="438"/>
      <c r="AC39" s="437"/>
      <c r="AD39" s="436"/>
      <c r="AE39" s="435"/>
      <c r="AF39" s="434"/>
      <c r="AG39" s="434"/>
    </row>
    <row r="40" spans="3:33" s="147" customFormat="1">
      <c r="E40" s="433"/>
      <c r="F40" s="433"/>
      <c r="G40" s="433"/>
      <c r="H40" s="433"/>
      <c r="I40" s="433"/>
      <c r="J40" s="433"/>
      <c r="K40" s="433"/>
      <c r="L40" s="433"/>
      <c r="M40" s="433"/>
      <c r="N40" s="433"/>
      <c r="R40" s="437"/>
      <c r="S40" s="433"/>
      <c r="T40" s="433"/>
      <c r="U40" s="433"/>
      <c r="V40" s="433"/>
      <c r="W40" s="438"/>
      <c r="Y40" s="437"/>
      <c r="Z40" s="433"/>
      <c r="AA40" s="438"/>
      <c r="AC40" s="437"/>
      <c r="AD40" s="433"/>
      <c r="AE40" s="438"/>
    </row>
    <row r="41" spans="3:33" s="147" customFormat="1">
      <c r="C41" s="700" t="s">
        <v>391</v>
      </c>
      <c r="D41" s="147" t="s">
        <v>952</v>
      </c>
      <c r="E41" s="453">
        <v>5</v>
      </c>
      <c r="F41" s="452">
        <v>5</v>
      </c>
      <c r="G41" s="452">
        <v>5</v>
      </c>
      <c r="H41" s="452">
        <v>5</v>
      </c>
      <c r="I41" s="452">
        <v>5</v>
      </c>
      <c r="J41" s="452">
        <v>5</v>
      </c>
      <c r="K41" s="452">
        <v>5</v>
      </c>
      <c r="L41" s="452">
        <v>5</v>
      </c>
      <c r="M41" s="452">
        <v>5</v>
      </c>
      <c r="N41" s="452">
        <v>5</v>
      </c>
      <c r="P41" s="451" t="s">
        <v>959</v>
      </c>
      <c r="R41" s="449" t="s">
        <v>784</v>
      </c>
      <c r="S41" s="448" t="s">
        <v>783</v>
      </c>
      <c r="T41" s="448" t="s">
        <v>782</v>
      </c>
      <c r="U41" s="448" t="s">
        <v>781</v>
      </c>
      <c r="V41" s="448" t="s">
        <v>780</v>
      </c>
      <c r="W41" s="450" t="s">
        <v>779</v>
      </c>
      <c r="Y41" s="449" t="s">
        <v>951</v>
      </c>
      <c r="Z41" s="448" t="s">
        <v>114</v>
      </c>
      <c r="AA41" s="438"/>
      <c r="AC41" s="437"/>
      <c r="AD41" s="433" t="s">
        <v>951</v>
      </c>
      <c r="AE41" s="438" t="s">
        <v>114</v>
      </c>
    </row>
    <row r="42" spans="3:33" s="147" customFormat="1">
      <c r="D42" s="147" t="s">
        <v>950</v>
      </c>
      <c r="E42" s="443">
        <v>3</v>
      </c>
      <c r="F42" s="442">
        <v>3</v>
      </c>
      <c r="G42" s="442">
        <v>3</v>
      </c>
      <c r="H42" s="442">
        <v>3</v>
      </c>
      <c r="I42" s="442">
        <v>3</v>
      </c>
      <c r="J42" s="442">
        <v>3</v>
      </c>
      <c r="K42" s="442">
        <v>3</v>
      </c>
      <c r="L42" s="442">
        <v>3</v>
      </c>
      <c r="M42" s="442">
        <v>3</v>
      </c>
      <c r="N42" s="442">
        <v>3</v>
      </c>
      <c r="P42" s="447" t="s">
        <v>191</v>
      </c>
      <c r="R42" s="445">
        <v>-3</v>
      </c>
      <c r="S42" s="436">
        <v>-1</v>
      </c>
      <c r="T42" s="436">
        <v>-0.5</v>
      </c>
      <c r="U42" s="436">
        <v>0</v>
      </c>
      <c r="V42" s="436">
        <v>1</v>
      </c>
      <c r="W42" s="446">
        <v>3</v>
      </c>
      <c r="Y42" s="445">
        <v>2</v>
      </c>
      <c r="Z42" s="444">
        <v>1</v>
      </c>
      <c r="AA42" s="438"/>
      <c r="AC42" s="437" t="s">
        <v>949</v>
      </c>
      <c r="AD42" s="436">
        <v>2</v>
      </c>
      <c r="AE42" s="435">
        <v>1</v>
      </c>
    </row>
    <row r="43" spans="3:33" s="147" customFormat="1">
      <c r="D43" s="147" t="s">
        <v>948</v>
      </c>
      <c r="E43" s="443">
        <f t="shared" ref="E43:N43" si="4">E42+E41</f>
        <v>8</v>
      </c>
      <c r="F43" s="442">
        <f t="shared" si="4"/>
        <v>8</v>
      </c>
      <c r="G43" s="442">
        <f t="shared" si="4"/>
        <v>8</v>
      </c>
      <c r="H43" s="442">
        <f t="shared" si="4"/>
        <v>8</v>
      </c>
      <c r="I43" s="442">
        <f t="shared" si="4"/>
        <v>8</v>
      </c>
      <c r="J43" s="442">
        <f t="shared" si="4"/>
        <v>8</v>
      </c>
      <c r="K43" s="442">
        <f t="shared" si="4"/>
        <v>8</v>
      </c>
      <c r="L43" s="442">
        <f t="shared" si="4"/>
        <v>8</v>
      </c>
      <c r="M43" s="442">
        <f t="shared" si="4"/>
        <v>8</v>
      </c>
      <c r="N43" s="442">
        <f t="shared" si="4"/>
        <v>8</v>
      </c>
      <c r="P43" s="441">
        <v>1</v>
      </c>
      <c r="R43" s="437"/>
      <c r="S43" s="433"/>
      <c r="T43" s="433"/>
      <c r="U43" s="433"/>
      <c r="V43" s="433"/>
      <c r="W43" s="438"/>
      <c r="Y43" s="437"/>
      <c r="Z43" s="433"/>
      <c r="AA43" s="438"/>
      <c r="AC43" s="437" t="s">
        <v>947</v>
      </c>
      <c r="AD43" s="436">
        <v>-0.3</v>
      </c>
      <c r="AE43" s="435">
        <v>2</v>
      </c>
    </row>
    <row r="44" spans="3:33" s="147" customFormat="1">
      <c r="D44" s="147" t="s">
        <v>946</v>
      </c>
      <c r="E44" s="440">
        <f t="shared" ref="E44:N44" si="5">IF(xxSim0Tool1=1,0,CHOOSE(xxRound+1,adjR1WHIScore,adjR1WHIScore,adjR2WHIScore))</f>
        <v>0</v>
      </c>
      <c r="F44" s="439">
        <f t="shared" si="5"/>
        <v>0</v>
      </c>
      <c r="G44" s="439">
        <f t="shared" si="5"/>
        <v>0</v>
      </c>
      <c r="H44" s="439">
        <f t="shared" si="5"/>
        <v>0</v>
      </c>
      <c r="I44" s="439">
        <f t="shared" si="5"/>
        <v>0</v>
      </c>
      <c r="J44" s="439">
        <f t="shared" si="5"/>
        <v>0</v>
      </c>
      <c r="K44" s="439">
        <f t="shared" si="5"/>
        <v>0</v>
      </c>
      <c r="L44" s="439">
        <f t="shared" si="5"/>
        <v>0</v>
      </c>
      <c r="M44" s="439">
        <f t="shared" si="5"/>
        <v>0</v>
      </c>
      <c r="N44" s="439">
        <f t="shared" si="5"/>
        <v>0</v>
      </c>
      <c r="O44" s="428"/>
      <c r="R44" s="437"/>
      <c r="S44" s="433"/>
      <c r="T44" s="433"/>
      <c r="U44" s="433"/>
      <c r="V44" s="433"/>
      <c r="W44" s="438"/>
      <c r="Y44" s="437"/>
      <c r="Z44" s="433"/>
      <c r="AA44" s="438"/>
      <c r="AC44" s="437"/>
      <c r="AD44" s="436"/>
      <c r="AE44" s="435"/>
      <c r="AF44" s="434"/>
      <c r="AG44" s="434"/>
    </row>
    <row r="45" spans="3:33" s="147" customFormat="1">
      <c r="E45" s="433"/>
      <c r="F45" s="433"/>
      <c r="G45" s="433"/>
      <c r="H45" s="433"/>
      <c r="I45" s="433"/>
      <c r="J45" s="433"/>
      <c r="K45" s="433"/>
      <c r="L45" s="433"/>
      <c r="M45" s="433"/>
      <c r="N45" s="433"/>
      <c r="R45" s="437"/>
      <c r="S45" s="433"/>
      <c r="T45" s="433"/>
      <c r="U45" s="433"/>
      <c r="V45" s="433"/>
      <c r="W45" s="438"/>
      <c r="Y45" s="437"/>
      <c r="Z45" s="433"/>
      <c r="AA45" s="438"/>
      <c r="AC45" s="437"/>
      <c r="AD45" s="433"/>
      <c r="AE45" s="438"/>
    </row>
    <row r="46" spans="3:33" s="147" customFormat="1">
      <c r="C46" s="153" t="s">
        <v>960</v>
      </c>
      <c r="D46" s="147" t="s">
        <v>952</v>
      </c>
      <c r="E46" s="453">
        <v>5</v>
      </c>
      <c r="F46" s="452">
        <v>5</v>
      </c>
      <c r="G46" s="452">
        <v>5</v>
      </c>
      <c r="H46" s="452">
        <v>5</v>
      </c>
      <c r="I46" s="452">
        <v>5</v>
      </c>
      <c r="J46" s="452">
        <v>5</v>
      </c>
      <c r="K46" s="452">
        <v>5</v>
      </c>
      <c r="L46" s="452">
        <v>5</v>
      </c>
      <c r="M46" s="452">
        <v>5</v>
      </c>
      <c r="N46" s="452">
        <v>5</v>
      </c>
      <c r="P46" s="451"/>
      <c r="R46" s="449" t="s">
        <v>784</v>
      </c>
      <c r="S46" s="448" t="s">
        <v>783</v>
      </c>
      <c r="T46" s="448" t="s">
        <v>782</v>
      </c>
      <c r="U46" s="448" t="s">
        <v>781</v>
      </c>
      <c r="V46" s="448" t="s">
        <v>780</v>
      </c>
      <c r="W46" s="450" t="s">
        <v>779</v>
      </c>
      <c r="Y46" s="449" t="s">
        <v>951</v>
      </c>
      <c r="Z46" s="448" t="s">
        <v>114</v>
      </c>
      <c r="AA46" s="438"/>
      <c r="AC46" s="437"/>
      <c r="AD46" s="433" t="s">
        <v>951</v>
      </c>
      <c r="AE46" s="438" t="s">
        <v>114</v>
      </c>
    </row>
    <row r="47" spans="3:33" s="147" customFormat="1">
      <c r="D47" s="147" t="s">
        <v>950</v>
      </c>
      <c r="E47" s="443">
        <v>3</v>
      </c>
      <c r="F47" s="442">
        <v>3</v>
      </c>
      <c r="G47" s="442">
        <v>3</v>
      </c>
      <c r="H47" s="442">
        <v>3</v>
      </c>
      <c r="I47" s="442">
        <v>3</v>
      </c>
      <c r="J47" s="442">
        <v>3</v>
      </c>
      <c r="K47" s="442">
        <v>3</v>
      </c>
      <c r="L47" s="442">
        <v>3</v>
      </c>
      <c r="M47" s="442">
        <v>3</v>
      </c>
      <c r="N47" s="442">
        <v>3</v>
      </c>
      <c r="P47" s="447" t="s">
        <v>191</v>
      </c>
      <c r="R47" s="445">
        <v>-3</v>
      </c>
      <c r="S47" s="436">
        <v>-1</v>
      </c>
      <c r="T47" s="436">
        <v>-0.5</v>
      </c>
      <c r="U47" s="436">
        <v>0</v>
      </c>
      <c r="V47" s="436">
        <v>1</v>
      </c>
      <c r="W47" s="446">
        <v>3</v>
      </c>
      <c r="Y47" s="445">
        <v>2</v>
      </c>
      <c r="Z47" s="444">
        <v>1</v>
      </c>
      <c r="AA47" s="438"/>
      <c r="AC47" s="437" t="s">
        <v>949</v>
      </c>
      <c r="AD47" s="436">
        <v>2</v>
      </c>
      <c r="AE47" s="435">
        <v>1</v>
      </c>
    </row>
    <row r="48" spans="3:33" s="147" customFormat="1">
      <c r="D48" s="147" t="s">
        <v>948</v>
      </c>
      <c r="E48" s="443">
        <f t="shared" ref="E48:N48" si="6">E47+E46</f>
        <v>8</v>
      </c>
      <c r="F48" s="442">
        <f t="shared" si="6"/>
        <v>8</v>
      </c>
      <c r="G48" s="442">
        <f t="shared" si="6"/>
        <v>8</v>
      </c>
      <c r="H48" s="442">
        <f t="shared" si="6"/>
        <v>8</v>
      </c>
      <c r="I48" s="442">
        <f t="shared" si="6"/>
        <v>8</v>
      </c>
      <c r="J48" s="442">
        <f t="shared" si="6"/>
        <v>8</v>
      </c>
      <c r="K48" s="442">
        <f t="shared" si="6"/>
        <v>8</v>
      </c>
      <c r="L48" s="442">
        <f t="shared" si="6"/>
        <v>8</v>
      </c>
      <c r="M48" s="442">
        <f t="shared" si="6"/>
        <v>8</v>
      </c>
      <c r="N48" s="442">
        <f t="shared" si="6"/>
        <v>8</v>
      </c>
      <c r="P48" s="441">
        <v>1</v>
      </c>
      <c r="R48" s="437"/>
      <c r="S48" s="433"/>
      <c r="T48" s="433"/>
      <c r="U48" s="433"/>
      <c r="V48" s="433"/>
      <c r="W48" s="438"/>
      <c r="Y48" s="437"/>
      <c r="Z48" s="433"/>
      <c r="AA48" s="438"/>
      <c r="AC48" s="437" t="s">
        <v>947</v>
      </c>
      <c r="AD48" s="436">
        <v>-0.3</v>
      </c>
      <c r="AE48" s="435">
        <v>2</v>
      </c>
    </row>
    <row r="49" spans="3:33" s="147" customFormat="1">
      <c r="D49" s="147" t="s">
        <v>946</v>
      </c>
      <c r="E49" s="440">
        <v>0</v>
      </c>
      <c r="F49" s="439">
        <v>0</v>
      </c>
      <c r="G49" s="439">
        <v>0</v>
      </c>
      <c r="H49" s="439">
        <v>0</v>
      </c>
      <c r="I49" s="439">
        <v>0</v>
      </c>
      <c r="J49" s="439">
        <v>0</v>
      </c>
      <c r="K49" s="439">
        <v>0</v>
      </c>
      <c r="L49" s="439">
        <v>0</v>
      </c>
      <c r="M49" s="439">
        <v>0</v>
      </c>
      <c r="N49" s="439">
        <v>0</v>
      </c>
      <c r="R49" s="437"/>
      <c r="S49" s="433"/>
      <c r="T49" s="433"/>
      <c r="U49" s="433"/>
      <c r="V49" s="433"/>
      <c r="W49" s="438"/>
      <c r="Y49" s="437"/>
      <c r="Z49" s="433"/>
      <c r="AA49" s="438"/>
      <c r="AC49" s="437"/>
      <c r="AD49" s="436"/>
      <c r="AE49" s="435"/>
      <c r="AF49" s="434"/>
      <c r="AG49" s="434"/>
    </row>
    <row r="50" spans="3:33" s="147" customFormat="1">
      <c r="E50" s="433"/>
      <c r="F50" s="433"/>
      <c r="G50" s="433"/>
      <c r="H50" s="433"/>
      <c r="I50" s="433"/>
      <c r="J50" s="433"/>
      <c r="K50" s="433"/>
      <c r="L50" s="433"/>
      <c r="M50" s="433"/>
      <c r="N50" s="433"/>
      <c r="R50" s="437"/>
      <c r="S50" s="433"/>
      <c r="T50" s="433"/>
      <c r="U50" s="433"/>
      <c r="V50" s="433"/>
      <c r="W50" s="438"/>
      <c r="Y50" s="437"/>
      <c r="Z50" s="433"/>
      <c r="AA50" s="438"/>
      <c r="AC50" s="437"/>
      <c r="AD50" s="433"/>
      <c r="AE50" s="438"/>
    </row>
    <row r="51" spans="3:33" s="147" customFormat="1">
      <c r="C51" s="153" t="s">
        <v>958</v>
      </c>
      <c r="D51" s="147" t="s">
        <v>952</v>
      </c>
      <c r="E51" s="453">
        <v>5</v>
      </c>
      <c r="F51" s="452">
        <v>5</v>
      </c>
      <c r="G51" s="452">
        <v>5</v>
      </c>
      <c r="H51" s="452">
        <v>5</v>
      </c>
      <c r="I51" s="452">
        <v>5</v>
      </c>
      <c r="J51" s="452">
        <v>5</v>
      </c>
      <c r="K51" s="452">
        <v>5</v>
      </c>
      <c r="L51" s="452">
        <v>5</v>
      </c>
      <c r="M51" s="452">
        <v>5</v>
      </c>
      <c r="N51" s="452">
        <v>5</v>
      </c>
      <c r="P51" s="451"/>
      <c r="R51" s="449" t="s">
        <v>784</v>
      </c>
      <c r="S51" s="448" t="s">
        <v>783</v>
      </c>
      <c r="T51" s="448" t="s">
        <v>782</v>
      </c>
      <c r="U51" s="448" t="s">
        <v>781</v>
      </c>
      <c r="V51" s="448" t="s">
        <v>780</v>
      </c>
      <c r="W51" s="450" t="s">
        <v>779</v>
      </c>
      <c r="Y51" s="449" t="s">
        <v>951</v>
      </c>
      <c r="Z51" s="448" t="s">
        <v>114</v>
      </c>
      <c r="AA51" s="438"/>
      <c r="AC51" s="437"/>
      <c r="AD51" s="433" t="s">
        <v>951</v>
      </c>
      <c r="AE51" s="438" t="s">
        <v>114</v>
      </c>
    </row>
    <row r="52" spans="3:33" s="147" customFormat="1">
      <c r="D52" s="147" t="s">
        <v>950</v>
      </c>
      <c r="E52" s="443">
        <v>3</v>
      </c>
      <c r="F52" s="442">
        <v>3</v>
      </c>
      <c r="G52" s="442">
        <v>3</v>
      </c>
      <c r="H52" s="442">
        <v>3</v>
      </c>
      <c r="I52" s="442">
        <v>3</v>
      </c>
      <c r="J52" s="442">
        <v>3</v>
      </c>
      <c r="K52" s="442">
        <v>3</v>
      </c>
      <c r="L52" s="442">
        <v>3</v>
      </c>
      <c r="M52" s="442">
        <v>3</v>
      </c>
      <c r="N52" s="442">
        <v>3</v>
      </c>
      <c r="P52" s="447" t="s">
        <v>191</v>
      </c>
      <c r="R52" s="445">
        <v>-3</v>
      </c>
      <c r="S52" s="436">
        <v>-1</v>
      </c>
      <c r="T52" s="436">
        <v>-0.5</v>
      </c>
      <c r="U52" s="436">
        <v>0</v>
      </c>
      <c r="V52" s="436">
        <v>1</v>
      </c>
      <c r="W52" s="446">
        <v>3</v>
      </c>
      <c r="Y52" s="445">
        <v>2</v>
      </c>
      <c r="Z52" s="444">
        <v>1</v>
      </c>
      <c r="AA52" s="438"/>
      <c r="AC52" s="437" t="s">
        <v>949</v>
      </c>
      <c r="AD52" s="436">
        <v>2</v>
      </c>
      <c r="AE52" s="435">
        <v>1</v>
      </c>
    </row>
    <row r="53" spans="3:33" s="147" customFormat="1">
      <c r="D53" s="147" t="s">
        <v>948</v>
      </c>
      <c r="E53" s="443">
        <f t="shared" ref="E53:N53" si="7">E52+E51</f>
        <v>8</v>
      </c>
      <c r="F53" s="442">
        <f t="shared" si="7"/>
        <v>8</v>
      </c>
      <c r="G53" s="442">
        <f t="shared" si="7"/>
        <v>8</v>
      </c>
      <c r="H53" s="442">
        <f t="shared" si="7"/>
        <v>8</v>
      </c>
      <c r="I53" s="442">
        <f t="shared" si="7"/>
        <v>8</v>
      </c>
      <c r="J53" s="442">
        <f t="shared" si="7"/>
        <v>8</v>
      </c>
      <c r="K53" s="442">
        <f t="shared" si="7"/>
        <v>8</v>
      </c>
      <c r="L53" s="442">
        <f t="shared" si="7"/>
        <v>8</v>
      </c>
      <c r="M53" s="442">
        <f t="shared" si="7"/>
        <v>8</v>
      </c>
      <c r="N53" s="442">
        <f t="shared" si="7"/>
        <v>8</v>
      </c>
      <c r="P53" s="441">
        <v>1</v>
      </c>
      <c r="R53" s="437"/>
      <c r="S53" s="433"/>
      <c r="T53" s="433"/>
      <c r="U53" s="433"/>
      <c r="V53" s="433"/>
      <c r="W53" s="438"/>
      <c r="Y53" s="437"/>
      <c r="Z53" s="433"/>
      <c r="AA53" s="438"/>
      <c r="AC53" s="437" t="s">
        <v>947</v>
      </c>
      <c r="AD53" s="436">
        <v>-0.3</v>
      </c>
      <c r="AE53" s="435">
        <v>2</v>
      </c>
    </row>
    <row r="54" spans="3:33" s="147" customFormat="1">
      <c r="D54" s="147" t="s">
        <v>946</v>
      </c>
      <c r="E54" s="440"/>
      <c r="F54" s="439"/>
      <c r="G54" s="439"/>
      <c r="H54" s="439"/>
      <c r="I54" s="439"/>
      <c r="J54" s="439"/>
      <c r="K54" s="439"/>
      <c r="L54" s="439"/>
      <c r="M54" s="439"/>
      <c r="N54" s="439"/>
      <c r="R54" s="437"/>
      <c r="S54" s="433"/>
      <c r="T54" s="433"/>
      <c r="U54" s="433"/>
      <c r="V54" s="433"/>
      <c r="W54" s="438"/>
      <c r="Y54" s="437"/>
      <c r="Z54" s="433"/>
      <c r="AA54" s="438"/>
      <c r="AC54" s="437"/>
      <c r="AD54" s="436"/>
      <c r="AE54" s="435"/>
      <c r="AF54" s="434"/>
      <c r="AG54" s="434"/>
    </row>
    <row r="55" spans="3:33" s="147" customFormat="1">
      <c r="E55" s="433"/>
      <c r="F55" s="433"/>
      <c r="G55" s="433"/>
      <c r="H55" s="433"/>
      <c r="I55" s="433"/>
      <c r="J55" s="433"/>
      <c r="K55" s="433"/>
      <c r="L55" s="433"/>
      <c r="M55" s="433"/>
      <c r="N55" s="433"/>
      <c r="R55" s="437"/>
      <c r="S55" s="433"/>
      <c r="T55" s="433"/>
      <c r="U55" s="433"/>
      <c r="V55" s="433"/>
      <c r="W55" s="438"/>
      <c r="Y55" s="437"/>
      <c r="Z55" s="433"/>
      <c r="AA55" s="438"/>
      <c r="AC55" s="437"/>
      <c r="AD55" s="433"/>
      <c r="AE55" s="438"/>
    </row>
    <row r="56" spans="3:33" s="147" customFormat="1">
      <c r="C56" s="153" t="s">
        <v>957</v>
      </c>
      <c r="D56" s="147" t="s">
        <v>952</v>
      </c>
      <c r="E56" s="453">
        <v>5</v>
      </c>
      <c r="F56" s="452">
        <v>5</v>
      </c>
      <c r="G56" s="452">
        <v>5</v>
      </c>
      <c r="H56" s="452">
        <v>5</v>
      </c>
      <c r="I56" s="452">
        <v>5</v>
      </c>
      <c r="J56" s="452">
        <v>5</v>
      </c>
      <c r="K56" s="452">
        <v>5</v>
      </c>
      <c r="L56" s="452">
        <v>5</v>
      </c>
      <c r="M56" s="452">
        <v>5</v>
      </c>
      <c r="N56" s="452">
        <v>5</v>
      </c>
      <c r="P56" s="451"/>
      <c r="R56" s="449" t="s">
        <v>784</v>
      </c>
      <c r="S56" s="448" t="s">
        <v>783</v>
      </c>
      <c r="T56" s="448" t="s">
        <v>782</v>
      </c>
      <c r="U56" s="448" t="s">
        <v>781</v>
      </c>
      <c r="V56" s="448" t="s">
        <v>780</v>
      </c>
      <c r="W56" s="450" t="s">
        <v>779</v>
      </c>
      <c r="Y56" s="449" t="s">
        <v>951</v>
      </c>
      <c r="Z56" s="448" t="s">
        <v>114</v>
      </c>
      <c r="AA56" s="438"/>
      <c r="AC56" s="437"/>
      <c r="AD56" s="433" t="s">
        <v>951</v>
      </c>
      <c r="AE56" s="438" t="s">
        <v>114</v>
      </c>
    </row>
    <row r="57" spans="3:33" s="147" customFormat="1">
      <c r="D57" s="147" t="s">
        <v>950</v>
      </c>
      <c r="E57" s="443">
        <v>3</v>
      </c>
      <c r="F57" s="442">
        <v>3</v>
      </c>
      <c r="G57" s="442">
        <v>3</v>
      </c>
      <c r="H57" s="442">
        <v>3</v>
      </c>
      <c r="I57" s="442">
        <v>3</v>
      </c>
      <c r="J57" s="442">
        <v>3</v>
      </c>
      <c r="K57" s="442">
        <v>3</v>
      </c>
      <c r="L57" s="442">
        <v>3</v>
      </c>
      <c r="M57" s="442">
        <v>3</v>
      </c>
      <c r="N57" s="442">
        <v>3</v>
      </c>
      <c r="P57" s="447" t="s">
        <v>191</v>
      </c>
      <c r="R57" s="445">
        <v>-3</v>
      </c>
      <c r="S57" s="436">
        <v>-1</v>
      </c>
      <c r="T57" s="436">
        <v>-0.5</v>
      </c>
      <c r="U57" s="436">
        <v>0</v>
      </c>
      <c r="V57" s="436">
        <v>1</v>
      </c>
      <c r="W57" s="446">
        <v>3</v>
      </c>
      <c r="Y57" s="445">
        <v>2</v>
      </c>
      <c r="Z57" s="444">
        <v>1</v>
      </c>
      <c r="AA57" s="438"/>
      <c r="AC57" s="437" t="s">
        <v>949</v>
      </c>
      <c r="AD57" s="436">
        <v>2</v>
      </c>
      <c r="AE57" s="435">
        <v>1</v>
      </c>
    </row>
    <row r="58" spans="3:33" s="147" customFormat="1">
      <c r="D58" s="147" t="s">
        <v>948</v>
      </c>
      <c r="E58" s="443">
        <f t="shared" ref="E58:N58" si="8">E57+E56</f>
        <v>8</v>
      </c>
      <c r="F58" s="442">
        <f t="shared" si="8"/>
        <v>8</v>
      </c>
      <c r="G58" s="442">
        <f t="shared" si="8"/>
        <v>8</v>
      </c>
      <c r="H58" s="442">
        <f t="shared" si="8"/>
        <v>8</v>
      </c>
      <c r="I58" s="442">
        <f t="shared" si="8"/>
        <v>8</v>
      </c>
      <c r="J58" s="442">
        <f t="shared" si="8"/>
        <v>8</v>
      </c>
      <c r="K58" s="442">
        <f t="shared" si="8"/>
        <v>8</v>
      </c>
      <c r="L58" s="442">
        <f t="shared" si="8"/>
        <v>8</v>
      </c>
      <c r="M58" s="442">
        <f t="shared" si="8"/>
        <v>8</v>
      </c>
      <c r="N58" s="442">
        <f t="shared" si="8"/>
        <v>8</v>
      </c>
      <c r="P58" s="441">
        <v>1</v>
      </c>
      <c r="R58" s="437"/>
      <c r="S58" s="433"/>
      <c r="T58" s="433"/>
      <c r="U58" s="433"/>
      <c r="V58" s="433"/>
      <c r="W58" s="438"/>
      <c r="Y58" s="437"/>
      <c r="Z58" s="433"/>
      <c r="AA58" s="438"/>
      <c r="AC58" s="437" t="s">
        <v>947</v>
      </c>
      <c r="AD58" s="436">
        <v>-0.3</v>
      </c>
      <c r="AE58" s="435">
        <v>2</v>
      </c>
    </row>
    <row r="59" spans="3:33" s="147" customFormat="1">
      <c r="D59" s="147" t="s">
        <v>946</v>
      </c>
      <c r="E59" s="440"/>
      <c r="F59" s="439"/>
      <c r="G59" s="439"/>
      <c r="H59" s="439"/>
      <c r="I59" s="439"/>
      <c r="J59" s="439"/>
      <c r="K59" s="439"/>
      <c r="L59" s="439"/>
      <c r="M59" s="439"/>
      <c r="N59" s="439"/>
      <c r="R59" s="437"/>
      <c r="S59" s="433"/>
      <c r="T59" s="433"/>
      <c r="U59" s="433"/>
      <c r="V59" s="433"/>
      <c r="W59" s="438"/>
      <c r="Y59" s="437"/>
      <c r="Z59" s="433"/>
      <c r="AA59" s="438"/>
      <c r="AC59" s="437"/>
      <c r="AD59" s="436"/>
      <c r="AE59" s="435"/>
      <c r="AF59" s="434"/>
      <c r="AG59" s="434"/>
    </row>
    <row r="60" spans="3:33" s="147" customFormat="1">
      <c r="E60" s="433"/>
      <c r="F60" s="433"/>
      <c r="G60" s="433"/>
      <c r="H60" s="433"/>
      <c r="I60" s="433"/>
      <c r="J60" s="433"/>
      <c r="K60" s="433"/>
      <c r="L60" s="433"/>
      <c r="M60" s="433"/>
      <c r="N60" s="433"/>
      <c r="R60" s="437"/>
      <c r="S60" s="433"/>
      <c r="T60" s="433"/>
      <c r="U60" s="433"/>
      <c r="V60" s="433"/>
      <c r="W60" s="438"/>
      <c r="Y60" s="437"/>
      <c r="Z60" s="433"/>
      <c r="AA60" s="438"/>
      <c r="AC60" s="437"/>
      <c r="AD60" s="433"/>
      <c r="AE60" s="438"/>
    </row>
    <row r="61" spans="3:33" s="147" customFormat="1">
      <c r="C61" s="153" t="s">
        <v>956</v>
      </c>
      <c r="D61" s="147" t="s">
        <v>952</v>
      </c>
      <c r="E61" s="453">
        <v>5</v>
      </c>
      <c r="F61" s="452">
        <v>5</v>
      </c>
      <c r="G61" s="452">
        <v>5</v>
      </c>
      <c r="H61" s="452">
        <v>5</v>
      </c>
      <c r="I61" s="452">
        <v>5</v>
      </c>
      <c r="J61" s="452">
        <v>5</v>
      </c>
      <c r="K61" s="452">
        <v>5</v>
      </c>
      <c r="L61" s="452">
        <v>5</v>
      </c>
      <c r="M61" s="452">
        <v>5</v>
      </c>
      <c r="N61" s="452">
        <v>5</v>
      </c>
      <c r="P61" s="451"/>
      <c r="R61" s="449" t="s">
        <v>784</v>
      </c>
      <c r="S61" s="448" t="s">
        <v>783</v>
      </c>
      <c r="T61" s="448" t="s">
        <v>782</v>
      </c>
      <c r="U61" s="448" t="s">
        <v>781</v>
      </c>
      <c r="V61" s="448" t="s">
        <v>780</v>
      </c>
      <c r="W61" s="450" t="s">
        <v>779</v>
      </c>
      <c r="Y61" s="449" t="s">
        <v>951</v>
      </c>
      <c r="Z61" s="448" t="s">
        <v>114</v>
      </c>
      <c r="AA61" s="438"/>
      <c r="AC61" s="437"/>
      <c r="AD61" s="433" t="s">
        <v>951</v>
      </c>
      <c r="AE61" s="438" t="s">
        <v>114</v>
      </c>
    </row>
    <row r="62" spans="3:33" s="147" customFormat="1">
      <c r="D62" s="147" t="s">
        <v>950</v>
      </c>
      <c r="E62" s="443">
        <v>3</v>
      </c>
      <c r="F62" s="442">
        <v>3</v>
      </c>
      <c r="G62" s="442">
        <v>3</v>
      </c>
      <c r="H62" s="442">
        <v>3</v>
      </c>
      <c r="I62" s="442">
        <v>3</v>
      </c>
      <c r="J62" s="442">
        <v>3</v>
      </c>
      <c r="K62" s="442">
        <v>3</v>
      </c>
      <c r="L62" s="442">
        <v>3</v>
      </c>
      <c r="M62" s="442">
        <v>3</v>
      </c>
      <c r="N62" s="442">
        <v>3</v>
      </c>
      <c r="P62" s="447" t="s">
        <v>191</v>
      </c>
      <c r="R62" s="445">
        <v>-3</v>
      </c>
      <c r="S62" s="436">
        <v>-1</v>
      </c>
      <c r="T62" s="436">
        <v>-0.5</v>
      </c>
      <c r="U62" s="436">
        <v>0</v>
      </c>
      <c r="V62" s="436">
        <v>1</v>
      </c>
      <c r="W62" s="446">
        <v>3</v>
      </c>
      <c r="Y62" s="445">
        <v>2</v>
      </c>
      <c r="Z62" s="444">
        <v>1</v>
      </c>
      <c r="AA62" s="438"/>
      <c r="AC62" s="437" t="s">
        <v>949</v>
      </c>
      <c r="AD62" s="436">
        <v>2</v>
      </c>
      <c r="AE62" s="435">
        <v>1</v>
      </c>
    </row>
    <row r="63" spans="3:33" s="147" customFormat="1">
      <c r="D63" s="147" t="s">
        <v>948</v>
      </c>
      <c r="E63" s="443">
        <f t="shared" ref="E63:N63" si="9">E62+E61</f>
        <v>8</v>
      </c>
      <c r="F63" s="442">
        <f t="shared" si="9"/>
        <v>8</v>
      </c>
      <c r="G63" s="442">
        <f t="shared" si="9"/>
        <v>8</v>
      </c>
      <c r="H63" s="442">
        <f t="shared" si="9"/>
        <v>8</v>
      </c>
      <c r="I63" s="442">
        <f t="shared" si="9"/>
        <v>8</v>
      </c>
      <c r="J63" s="442">
        <f t="shared" si="9"/>
        <v>8</v>
      </c>
      <c r="K63" s="442">
        <f t="shared" si="9"/>
        <v>8</v>
      </c>
      <c r="L63" s="442">
        <f t="shared" si="9"/>
        <v>8</v>
      </c>
      <c r="M63" s="442">
        <f t="shared" si="9"/>
        <v>8</v>
      </c>
      <c r="N63" s="442">
        <f t="shared" si="9"/>
        <v>8</v>
      </c>
      <c r="P63" s="441">
        <v>1</v>
      </c>
      <c r="R63" s="437"/>
      <c r="S63" s="433"/>
      <c r="T63" s="433"/>
      <c r="U63" s="433"/>
      <c r="V63" s="433"/>
      <c r="W63" s="438"/>
      <c r="Y63" s="437"/>
      <c r="Z63" s="433"/>
      <c r="AA63" s="438"/>
      <c r="AC63" s="437" t="s">
        <v>947</v>
      </c>
      <c r="AD63" s="436">
        <v>-0.3</v>
      </c>
      <c r="AE63" s="435">
        <v>2</v>
      </c>
    </row>
    <row r="64" spans="3:33" s="147" customFormat="1">
      <c r="D64" s="147" t="s">
        <v>946</v>
      </c>
      <c r="E64" s="440"/>
      <c r="F64" s="439"/>
      <c r="G64" s="439"/>
      <c r="H64" s="439"/>
      <c r="I64" s="439"/>
      <c r="J64" s="439"/>
      <c r="K64" s="439"/>
      <c r="L64" s="439"/>
      <c r="M64" s="439"/>
      <c r="N64" s="439"/>
      <c r="R64" s="437"/>
      <c r="S64" s="433"/>
      <c r="T64" s="433"/>
      <c r="U64" s="433"/>
      <c r="V64" s="433"/>
      <c r="W64" s="438"/>
      <c r="Y64" s="437"/>
      <c r="Z64" s="433"/>
      <c r="AA64" s="438"/>
      <c r="AC64" s="437"/>
      <c r="AD64" s="436"/>
      <c r="AE64" s="435"/>
      <c r="AF64" s="434"/>
      <c r="AG64" s="434"/>
    </row>
    <row r="65" spans="3:33" s="147" customFormat="1">
      <c r="E65" s="433"/>
      <c r="F65" s="433"/>
      <c r="G65" s="433"/>
      <c r="H65" s="433"/>
      <c r="I65" s="433"/>
      <c r="J65" s="433"/>
      <c r="K65" s="433"/>
      <c r="L65" s="433"/>
      <c r="M65" s="433"/>
      <c r="N65" s="433"/>
      <c r="P65" s="433"/>
      <c r="R65" s="437"/>
      <c r="S65" s="433"/>
      <c r="T65" s="433"/>
      <c r="U65" s="433"/>
      <c r="V65" s="433"/>
      <c r="W65" s="438"/>
      <c r="Y65" s="437"/>
      <c r="Z65" s="433"/>
      <c r="AA65" s="438"/>
      <c r="AC65" s="437"/>
      <c r="AD65" s="433"/>
      <c r="AE65" s="438"/>
    </row>
    <row r="66" spans="3:33" s="147" customFormat="1">
      <c r="C66" s="153" t="s">
        <v>955</v>
      </c>
      <c r="D66" s="147" t="s">
        <v>952</v>
      </c>
      <c r="E66" s="453">
        <v>5</v>
      </c>
      <c r="F66" s="452">
        <v>5</v>
      </c>
      <c r="G66" s="452">
        <v>5</v>
      </c>
      <c r="H66" s="452">
        <v>5</v>
      </c>
      <c r="I66" s="452">
        <v>5</v>
      </c>
      <c r="J66" s="452">
        <v>5</v>
      </c>
      <c r="K66" s="452">
        <v>5</v>
      </c>
      <c r="L66" s="452">
        <v>5</v>
      </c>
      <c r="M66" s="452">
        <v>5</v>
      </c>
      <c r="N66" s="452">
        <v>5</v>
      </c>
      <c r="P66" s="451"/>
      <c r="R66" s="449" t="s">
        <v>784</v>
      </c>
      <c r="S66" s="448" t="s">
        <v>783</v>
      </c>
      <c r="T66" s="448" t="s">
        <v>782</v>
      </c>
      <c r="U66" s="448" t="s">
        <v>781</v>
      </c>
      <c r="V66" s="448" t="s">
        <v>780</v>
      </c>
      <c r="W66" s="450" t="s">
        <v>779</v>
      </c>
      <c r="Y66" s="449" t="s">
        <v>951</v>
      </c>
      <c r="Z66" s="448" t="s">
        <v>114</v>
      </c>
      <c r="AA66" s="438"/>
      <c r="AC66" s="437"/>
      <c r="AD66" s="433" t="s">
        <v>951</v>
      </c>
      <c r="AE66" s="438" t="s">
        <v>114</v>
      </c>
    </row>
    <row r="67" spans="3:33" s="147" customFormat="1">
      <c r="D67" s="147" t="s">
        <v>950</v>
      </c>
      <c r="E67" s="443">
        <v>3</v>
      </c>
      <c r="F67" s="442">
        <v>3</v>
      </c>
      <c r="G67" s="442">
        <v>3</v>
      </c>
      <c r="H67" s="442">
        <v>3</v>
      </c>
      <c r="I67" s="442">
        <v>3</v>
      </c>
      <c r="J67" s="442">
        <v>3</v>
      </c>
      <c r="K67" s="442">
        <v>3</v>
      </c>
      <c r="L67" s="442">
        <v>3</v>
      </c>
      <c r="M67" s="442">
        <v>3</v>
      </c>
      <c r="N67" s="442">
        <v>3</v>
      </c>
      <c r="P67" s="447" t="s">
        <v>191</v>
      </c>
      <c r="R67" s="445">
        <v>-3</v>
      </c>
      <c r="S67" s="436">
        <v>-1</v>
      </c>
      <c r="T67" s="436">
        <v>-0.5</v>
      </c>
      <c r="U67" s="436">
        <v>0</v>
      </c>
      <c r="V67" s="436">
        <v>1</v>
      </c>
      <c r="W67" s="446">
        <v>3</v>
      </c>
      <c r="Y67" s="445">
        <v>2</v>
      </c>
      <c r="Z67" s="444">
        <v>1</v>
      </c>
      <c r="AA67" s="438"/>
      <c r="AC67" s="437" t="s">
        <v>949</v>
      </c>
      <c r="AD67" s="436">
        <v>2</v>
      </c>
      <c r="AE67" s="435">
        <v>1</v>
      </c>
    </row>
    <row r="68" spans="3:33" s="147" customFormat="1">
      <c r="D68" s="147" t="s">
        <v>948</v>
      </c>
      <c r="E68" s="443">
        <f t="shared" ref="E68:N68" si="10">E67+E66</f>
        <v>8</v>
      </c>
      <c r="F68" s="442">
        <f t="shared" si="10"/>
        <v>8</v>
      </c>
      <c r="G68" s="442">
        <f t="shared" si="10"/>
        <v>8</v>
      </c>
      <c r="H68" s="442">
        <f t="shared" si="10"/>
        <v>8</v>
      </c>
      <c r="I68" s="442">
        <f t="shared" si="10"/>
        <v>8</v>
      </c>
      <c r="J68" s="442">
        <f t="shared" si="10"/>
        <v>8</v>
      </c>
      <c r="K68" s="442">
        <f t="shared" si="10"/>
        <v>8</v>
      </c>
      <c r="L68" s="442">
        <f t="shared" si="10"/>
        <v>8</v>
      </c>
      <c r="M68" s="442">
        <f t="shared" si="10"/>
        <v>8</v>
      </c>
      <c r="N68" s="442">
        <f t="shared" si="10"/>
        <v>8</v>
      </c>
      <c r="P68" s="441">
        <v>1</v>
      </c>
      <c r="R68" s="437"/>
      <c r="S68" s="433"/>
      <c r="T68" s="433"/>
      <c r="U68" s="433"/>
      <c r="V68" s="433"/>
      <c r="W68" s="438"/>
      <c r="Y68" s="437"/>
      <c r="Z68" s="433"/>
      <c r="AA68" s="438"/>
      <c r="AC68" s="437" t="s">
        <v>947</v>
      </c>
      <c r="AD68" s="436">
        <v>-0.3</v>
      </c>
      <c r="AE68" s="435">
        <v>2</v>
      </c>
    </row>
    <row r="69" spans="3:33" s="147" customFormat="1">
      <c r="D69" s="147" t="s">
        <v>946</v>
      </c>
      <c r="E69" s="440"/>
      <c r="F69" s="439"/>
      <c r="G69" s="439"/>
      <c r="H69" s="439"/>
      <c r="I69" s="439"/>
      <c r="J69" s="439"/>
      <c r="K69" s="439"/>
      <c r="L69" s="439"/>
      <c r="M69" s="439"/>
      <c r="N69" s="439"/>
      <c r="R69" s="437"/>
      <c r="S69" s="433"/>
      <c r="T69" s="433"/>
      <c r="U69" s="433"/>
      <c r="V69" s="433"/>
      <c r="W69" s="438"/>
      <c r="Y69" s="437"/>
      <c r="Z69" s="433"/>
      <c r="AA69" s="438"/>
      <c r="AC69" s="437"/>
      <c r="AD69" s="436"/>
      <c r="AE69" s="435"/>
      <c r="AF69" s="434"/>
      <c r="AG69" s="434"/>
    </row>
    <row r="70" spans="3:33" s="147" customFormat="1">
      <c r="E70" s="433"/>
      <c r="F70" s="433"/>
      <c r="G70" s="433"/>
      <c r="H70" s="433"/>
      <c r="I70" s="433"/>
      <c r="J70" s="433"/>
      <c r="K70" s="433"/>
      <c r="L70" s="433"/>
      <c r="M70" s="433"/>
      <c r="N70" s="433"/>
      <c r="P70" s="433"/>
      <c r="R70" s="437"/>
      <c r="S70" s="433"/>
      <c r="T70" s="433"/>
      <c r="U70" s="433"/>
      <c r="V70" s="433"/>
      <c r="W70" s="438"/>
      <c r="Y70" s="437"/>
      <c r="Z70" s="433"/>
      <c r="AA70" s="438"/>
      <c r="AC70" s="437"/>
      <c r="AD70" s="433"/>
      <c r="AE70" s="438"/>
    </row>
    <row r="71" spans="3:33" s="147" customFormat="1">
      <c r="C71" s="153" t="s">
        <v>954</v>
      </c>
      <c r="D71" s="147" t="s">
        <v>952</v>
      </c>
      <c r="E71" s="453">
        <v>5</v>
      </c>
      <c r="F71" s="452">
        <v>5</v>
      </c>
      <c r="G71" s="452">
        <v>5</v>
      </c>
      <c r="H71" s="452">
        <v>5</v>
      </c>
      <c r="I71" s="452">
        <v>5</v>
      </c>
      <c r="J71" s="452">
        <v>5</v>
      </c>
      <c r="K71" s="452">
        <v>5</v>
      </c>
      <c r="L71" s="452">
        <v>5</v>
      </c>
      <c r="M71" s="452">
        <v>5</v>
      </c>
      <c r="N71" s="452">
        <v>5</v>
      </c>
      <c r="P71" s="451"/>
      <c r="R71" s="449" t="s">
        <v>784</v>
      </c>
      <c r="S71" s="448" t="s">
        <v>783</v>
      </c>
      <c r="T71" s="448" t="s">
        <v>782</v>
      </c>
      <c r="U71" s="448" t="s">
        <v>781</v>
      </c>
      <c r="V71" s="448" t="s">
        <v>780</v>
      </c>
      <c r="W71" s="450" t="s">
        <v>779</v>
      </c>
      <c r="Y71" s="449" t="s">
        <v>951</v>
      </c>
      <c r="Z71" s="448" t="s">
        <v>114</v>
      </c>
      <c r="AA71" s="438"/>
      <c r="AC71" s="437"/>
      <c r="AD71" s="433" t="s">
        <v>951</v>
      </c>
      <c r="AE71" s="438" t="s">
        <v>114</v>
      </c>
    </row>
    <row r="72" spans="3:33" s="147" customFormat="1">
      <c r="D72" s="147" t="s">
        <v>950</v>
      </c>
      <c r="E72" s="443">
        <v>3</v>
      </c>
      <c r="F72" s="442">
        <v>3</v>
      </c>
      <c r="G72" s="442">
        <v>3</v>
      </c>
      <c r="H72" s="442">
        <v>3</v>
      </c>
      <c r="I72" s="442">
        <v>3</v>
      </c>
      <c r="J72" s="442">
        <v>3</v>
      </c>
      <c r="K72" s="442">
        <v>3</v>
      </c>
      <c r="L72" s="442">
        <v>3</v>
      </c>
      <c r="M72" s="442">
        <v>3</v>
      </c>
      <c r="N72" s="442">
        <v>3</v>
      </c>
      <c r="P72" s="447" t="s">
        <v>191</v>
      </c>
      <c r="R72" s="445">
        <v>-3</v>
      </c>
      <c r="S72" s="436">
        <v>-1</v>
      </c>
      <c r="T72" s="436">
        <v>-0.5</v>
      </c>
      <c r="U72" s="436">
        <v>0</v>
      </c>
      <c r="V72" s="436">
        <v>1</v>
      </c>
      <c r="W72" s="446">
        <v>3</v>
      </c>
      <c r="Y72" s="445">
        <v>2</v>
      </c>
      <c r="Z72" s="444">
        <v>1</v>
      </c>
      <c r="AA72" s="438"/>
      <c r="AC72" s="437" t="s">
        <v>949</v>
      </c>
      <c r="AD72" s="436">
        <v>2</v>
      </c>
      <c r="AE72" s="435">
        <v>1</v>
      </c>
    </row>
    <row r="73" spans="3:33" s="147" customFormat="1">
      <c r="D73" s="147" t="s">
        <v>948</v>
      </c>
      <c r="E73" s="443">
        <f t="shared" ref="E73:N73" si="11">E72+E71</f>
        <v>8</v>
      </c>
      <c r="F73" s="442">
        <f t="shared" si="11"/>
        <v>8</v>
      </c>
      <c r="G73" s="442">
        <f t="shared" si="11"/>
        <v>8</v>
      </c>
      <c r="H73" s="442">
        <f t="shared" si="11"/>
        <v>8</v>
      </c>
      <c r="I73" s="442">
        <f t="shared" si="11"/>
        <v>8</v>
      </c>
      <c r="J73" s="442">
        <f t="shared" si="11"/>
        <v>8</v>
      </c>
      <c r="K73" s="442">
        <f t="shared" si="11"/>
        <v>8</v>
      </c>
      <c r="L73" s="442">
        <f t="shared" si="11"/>
        <v>8</v>
      </c>
      <c r="M73" s="442">
        <f t="shared" si="11"/>
        <v>8</v>
      </c>
      <c r="N73" s="442">
        <f t="shared" si="11"/>
        <v>8</v>
      </c>
      <c r="P73" s="441">
        <v>1</v>
      </c>
      <c r="R73" s="437"/>
      <c r="S73" s="433"/>
      <c r="T73" s="433"/>
      <c r="U73" s="433"/>
      <c r="V73" s="433"/>
      <c r="W73" s="438"/>
      <c r="Y73" s="437"/>
      <c r="Z73" s="433"/>
      <c r="AA73" s="438"/>
      <c r="AC73" s="437" t="s">
        <v>947</v>
      </c>
      <c r="AD73" s="436">
        <v>-0.3</v>
      </c>
      <c r="AE73" s="435">
        <v>2</v>
      </c>
    </row>
    <row r="74" spans="3:33" s="147" customFormat="1">
      <c r="D74" s="147" t="s">
        <v>946</v>
      </c>
      <c r="E74" s="440"/>
      <c r="F74" s="439"/>
      <c r="G74" s="439"/>
      <c r="H74" s="439"/>
      <c r="I74" s="439"/>
      <c r="J74" s="439"/>
      <c r="K74" s="439"/>
      <c r="L74" s="439"/>
      <c r="M74" s="439"/>
      <c r="N74" s="439"/>
      <c r="R74" s="437"/>
      <c r="S74" s="433"/>
      <c r="T74" s="433"/>
      <c r="U74" s="433"/>
      <c r="V74" s="433"/>
      <c r="W74" s="438"/>
      <c r="Y74" s="437"/>
      <c r="Z74" s="433"/>
      <c r="AA74" s="438"/>
      <c r="AC74" s="437"/>
      <c r="AD74" s="436"/>
      <c r="AE74" s="435"/>
      <c r="AF74" s="434"/>
      <c r="AG74" s="434"/>
    </row>
    <row r="75" spans="3:33" s="147" customFormat="1">
      <c r="E75" s="433"/>
      <c r="F75" s="433"/>
      <c r="G75" s="433"/>
      <c r="H75" s="433"/>
      <c r="I75" s="433"/>
      <c r="J75" s="433"/>
      <c r="K75" s="433"/>
      <c r="L75" s="433"/>
      <c r="M75" s="433"/>
      <c r="N75" s="433"/>
      <c r="P75" s="433"/>
      <c r="R75" s="437"/>
      <c r="S75" s="433"/>
      <c r="T75" s="433"/>
      <c r="U75" s="433"/>
      <c r="V75" s="433"/>
      <c r="W75" s="438"/>
      <c r="Y75" s="437"/>
      <c r="Z75" s="433"/>
      <c r="AA75" s="438"/>
      <c r="AC75" s="437"/>
      <c r="AD75" s="433"/>
      <c r="AE75" s="438"/>
    </row>
    <row r="76" spans="3:33" s="147" customFormat="1">
      <c r="C76" s="153" t="s">
        <v>953</v>
      </c>
      <c r="D76" s="147" t="s">
        <v>952</v>
      </c>
      <c r="E76" s="453">
        <v>5</v>
      </c>
      <c r="F76" s="452">
        <v>5</v>
      </c>
      <c r="G76" s="452">
        <v>5</v>
      </c>
      <c r="H76" s="452">
        <v>5</v>
      </c>
      <c r="I76" s="452">
        <v>5</v>
      </c>
      <c r="J76" s="452">
        <v>5</v>
      </c>
      <c r="K76" s="452">
        <v>5</v>
      </c>
      <c r="L76" s="452">
        <v>5</v>
      </c>
      <c r="M76" s="452">
        <v>5</v>
      </c>
      <c r="N76" s="452">
        <v>5</v>
      </c>
      <c r="P76" s="451"/>
      <c r="R76" s="449" t="s">
        <v>784</v>
      </c>
      <c r="S76" s="448" t="s">
        <v>783</v>
      </c>
      <c r="T76" s="448" t="s">
        <v>782</v>
      </c>
      <c r="U76" s="448" t="s">
        <v>781</v>
      </c>
      <c r="V76" s="448" t="s">
        <v>780</v>
      </c>
      <c r="W76" s="450" t="s">
        <v>779</v>
      </c>
      <c r="Y76" s="449" t="s">
        <v>951</v>
      </c>
      <c r="Z76" s="448" t="s">
        <v>114</v>
      </c>
      <c r="AA76" s="438"/>
      <c r="AC76" s="437"/>
      <c r="AD76" s="433" t="s">
        <v>951</v>
      </c>
      <c r="AE76" s="438" t="s">
        <v>114</v>
      </c>
    </row>
    <row r="77" spans="3:33" s="147" customFormat="1">
      <c r="D77" s="147" t="s">
        <v>950</v>
      </c>
      <c r="E77" s="443">
        <v>3</v>
      </c>
      <c r="F77" s="442">
        <v>3</v>
      </c>
      <c r="G77" s="442">
        <v>3</v>
      </c>
      <c r="H77" s="442">
        <v>3</v>
      </c>
      <c r="I77" s="442">
        <v>3</v>
      </c>
      <c r="J77" s="442">
        <v>3</v>
      </c>
      <c r="K77" s="442">
        <v>3</v>
      </c>
      <c r="L77" s="442">
        <v>3</v>
      </c>
      <c r="M77" s="442">
        <v>3</v>
      </c>
      <c r="N77" s="442">
        <v>3</v>
      </c>
      <c r="P77" s="447" t="s">
        <v>191</v>
      </c>
      <c r="R77" s="445">
        <v>-3</v>
      </c>
      <c r="S77" s="436">
        <v>-1</v>
      </c>
      <c r="T77" s="436">
        <v>-0.5</v>
      </c>
      <c r="U77" s="436">
        <v>0</v>
      </c>
      <c r="V77" s="436">
        <v>1</v>
      </c>
      <c r="W77" s="446">
        <v>3</v>
      </c>
      <c r="Y77" s="445">
        <v>2</v>
      </c>
      <c r="Z77" s="444">
        <v>1</v>
      </c>
      <c r="AA77" s="438"/>
      <c r="AC77" s="437" t="s">
        <v>949</v>
      </c>
      <c r="AD77" s="436">
        <v>2</v>
      </c>
      <c r="AE77" s="435">
        <v>1</v>
      </c>
    </row>
    <row r="78" spans="3:33" s="147" customFormat="1">
      <c r="D78" s="147" t="s">
        <v>948</v>
      </c>
      <c r="E78" s="443">
        <f t="shared" ref="E78:N78" si="12">E77+E76</f>
        <v>8</v>
      </c>
      <c r="F78" s="442">
        <f t="shared" si="12"/>
        <v>8</v>
      </c>
      <c r="G78" s="442">
        <f t="shared" si="12"/>
        <v>8</v>
      </c>
      <c r="H78" s="442">
        <f t="shared" si="12"/>
        <v>8</v>
      </c>
      <c r="I78" s="442">
        <f t="shared" si="12"/>
        <v>8</v>
      </c>
      <c r="J78" s="442">
        <f t="shared" si="12"/>
        <v>8</v>
      </c>
      <c r="K78" s="442">
        <f t="shared" si="12"/>
        <v>8</v>
      </c>
      <c r="L78" s="442">
        <f t="shared" si="12"/>
        <v>8</v>
      </c>
      <c r="M78" s="442">
        <f t="shared" si="12"/>
        <v>8</v>
      </c>
      <c r="N78" s="442">
        <f t="shared" si="12"/>
        <v>8</v>
      </c>
      <c r="P78" s="441">
        <v>1</v>
      </c>
      <c r="R78" s="437"/>
      <c r="S78" s="433"/>
      <c r="T78" s="433"/>
      <c r="U78" s="433"/>
      <c r="V78" s="433"/>
      <c r="W78" s="438"/>
      <c r="Y78" s="437"/>
      <c r="Z78" s="433"/>
      <c r="AA78" s="438"/>
      <c r="AC78" s="437" t="s">
        <v>947</v>
      </c>
      <c r="AD78" s="436">
        <v>-0.3</v>
      </c>
      <c r="AE78" s="435">
        <v>2</v>
      </c>
    </row>
    <row r="79" spans="3:33" s="147" customFormat="1">
      <c r="D79" s="147" t="s">
        <v>946</v>
      </c>
      <c r="E79" s="440"/>
      <c r="F79" s="439"/>
      <c r="G79" s="439"/>
      <c r="H79" s="439"/>
      <c r="I79" s="439"/>
      <c r="J79" s="439"/>
      <c r="K79" s="439"/>
      <c r="L79" s="439"/>
      <c r="M79" s="439"/>
      <c r="N79" s="439"/>
      <c r="R79" s="437"/>
      <c r="S79" s="433"/>
      <c r="T79" s="433"/>
      <c r="U79" s="433"/>
      <c r="V79" s="433"/>
      <c r="W79" s="438"/>
      <c r="Y79" s="437"/>
      <c r="Z79" s="433"/>
      <c r="AA79" s="438"/>
      <c r="AC79" s="437"/>
      <c r="AD79" s="436"/>
      <c r="AE79" s="435"/>
      <c r="AF79" s="434"/>
      <c r="AG79" s="434"/>
    </row>
    <row r="80" spans="3:33" s="147" customFormat="1">
      <c r="P80" s="433"/>
      <c r="R80" s="432"/>
      <c r="S80" s="418"/>
      <c r="T80" s="418"/>
      <c r="U80" s="418"/>
      <c r="V80" s="418"/>
      <c r="W80" s="431"/>
      <c r="Y80" s="432"/>
      <c r="Z80" s="418"/>
      <c r="AA80" s="431"/>
      <c r="AC80" s="432"/>
      <c r="AD80" s="418"/>
      <c r="AE80" s="431"/>
    </row>
    <row r="81" spans="1:29" s="147" customFormat="1">
      <c r="C81" s="147" t="s">
        <v>986</v>
      </c>
      <c r="E81" s="430">
        <f t="shared" ref="E81:L81" si="13">paramChallengeWHI</f>
        <v>0</v>
      </c>
      <c r="F81" s="430">
        <f t="shared" si="13"/>
        <v>0</v>
      </c>
      <c r="G81" s="430">
        <f t="shared" si="13"/>
        <v>0</v>
      </c>
      <c r="H81" s="430">
        <f t="shared" si="13"/>
        <v>0</v>
      </c>
      <c r="I81" s="430">
        <f t="shared" si="13"/>
        <v>0</v>
      </c>
      <c r="J81" s="430">
        <f t="shared" si="13"/>
        <v>0</v>
      </c>
      <c r="K81" s="430">
        <f t="shared" si="13"/>
        <v>0</v>
      </c>
      <c r="L81" s="430">
        <f t="shared" si="13"/>
        <v>0</v>
      </c>
      <c r="M81" s="430">
        <v>0</v>
      </c>
      <c r="N81" s="430">
        <v>0</v>
      </c>
      <c r="O81" s="428" t="s">
        <v>945</v>
      </c>
    </row>
    <row r="82" spans="1:29" s="147" customFormat="1"/>
    <row r="83" spans="1:29" s="147" customFormat="1">
      <c r="C83" s="147" t="s">
        <v>935</v>
      </c>
      <c r="E83" s="166">
        <f t="shared" ref="E83:N83" si="14">ManualAdjWHI</f>
        <v>0</v>
      </c>
      <c r="F83" s="166">
        <f t="shared" si="14"/>
        <v>0</v>
      </c>
      <c r="G83" s="166">
        <f t="shared" si="14"/>
        <v>0</v>
      </c>
      <c r="H83" s="166">
        <f t="shared" si="14"/>
        <v>0</v>
      </c>
      <c r="I83" s="166">
        <f t="shared" si="14"/>
        <v>0</v>
      </c>
      <c r="J83" s="166">
        <f t="shared" si="14"/>
        <v>0</v>
      </c>
      <c r="K83" s="166">
        <f t="shared" si="14"/>
        <v>0</v>
      </c>
      <c r="L83" s="166">
        <f t="shared" si="14"/>
        <v>0</v>
      </c>
      <c r="M83" s="166">
        <f t="shared" si="14"/>
        <v>0</v>
      </c>
      <c r="N83" s="166">
        <f t="shared" si="14"/>
        <v>0</v>
      </c>
      <c r="O83" s="147" t="s">
        <v>944</v>
      </c>
      <c r="R83" s="428" t="s">
        <v>943</v>
      </c>
    </row>
    <row r="84" spans="1:29" s="147" customFormat="1"/>
    <row r="85" spans="1:29" s="147" customFormat="1">
      <c r="C85" s="147" t="s">
        <v>942</v>
      </c>
      <c r="E85" s="429">
        <v>200</v>
      </c>
      <c r="I85" s="428"/>
      <c r="N85" s="428"/>
      <c r="R85" s="428"/>
    </row>
    <row r="86" spans="1:29" s="147" customFormat="1">
      <c r="C86" s="147" t="s">
        <v>941</v>
      </c>
      <c r="E86" s="429">
        <v>0</v>
      </c>
      <c r="I86" s="428"/>
      <c r="N86" s="428"/>
      <c r="R86" s="428"/>
    </row>
    <row r="87" spans="1:29" s="147" customFormat="1"/>
    <row r="88" spans="1:29" s="149" customFormat="1" ht="20.100000000000001" customHeight="1">
      <c r="C88" s="162" t="s">
        <v>112</v>
      </c>
      <c r="D88" s="163"/>
      <c r="E88" s="163"/>
      <c r="F88" s="163"/>
      <c r="G88" s="163"/>
      <c r="H88" s="163"/>
      <c r="I88" s="163"/>
      <c r="J88" s="163"/>
      <c r="K88" s="163"/>
      <c r="L88" s="163"/>
      <c r="M88" s="163"/>
      <c r="N88" s="163"/>
      <c r="O88" s="163"/>
      <c r="P88" s="163"/>
      <c r="Q88" s="163"/>
      <c r="R88" s="163"/>
      <c r="S88" s="163"/>
      <c r="T88" s="163"/>
      <c r="U88" s="163"/>
      <c r="V88" s="163"/>
      <c r="X88" s="163"/>
      <c r="AB88" s="163"/>
      <c r="AC88" s="149" t="s">
        <v>397</v>
      </c>
    </row>
    <row r="89" spans="1:29" s="147" customFormat="1">
      <c r="P89" s="154"/>
    </row>
    <row r="90" spans="1:29" s="149" customFormat="1">
      <c r="A90" s="148"/>
      <c r="C90" s="149" t="s">
        <v>940</v>
      </c>
      <c r="E90" s="150"/>
      <c r="F90" s="150"/>
      <c r="G90" s="150"/>
      <c r="H90" s="150"/>
      <c r="I90" s="150"/>
      <c r="J90" s="150"/>
      <c r="K90" s="150"/>
      <c r="L90" s="150"/>
      <c r="M90" s="150"/>
      <c r="N90" s="150"/>
    </row>
    <row r="91" spans="1:29" s="147" customFormat="1">
      <c r="E91" s="426"/>
      <c r="J91" s="426"/>
    </row>
    <row r="92" spans="1:29" s="147" customFormat="1">
      <c r="C92" s="147" t="str">
        <f>"Ending "&amp;$D$18</f>
        <v>Ending WHI</v>
      </c>
      <c r="E92" s="723">
        <f t="shared" ref="E92:N92" ca="1" si="15">E$128</f>
        <v>79.546374999999998</v>
      </c>
      <c r="F92" s="723">
        <f t="shared" ca="1" si="15"/>
        <v>79.546374999999998</v>
      </c>
      <c r="G92" s="723">
        <f t="shared" ca="1" si="15"/>
        <v>79.546374999999998</v>
      </c>
      <c r="H92" s="723">
        <f t="shared" ca="1" si="15"/>
        <v>79.546374999999998</v>
      </c>
      <c r="I92" s="723">
        <f t="shared" ca="1" si="15"/>
        <v>79.546374999999998</v>
      </c>
      <c r="J92" s="723">
        <f t="shared" ca="1" si="15"/>
        <v>79.546374999999998</v>
      </c>
      <c r="K92" s="723">
        <f t="shared" ca="1" si="15"/>
        <v>79.546374999999998</v>
      </c>
      <c r="L92" s="723">
        <f t="shared" ca="1" si="15"/>
        <v>79.546374999999998</v>
      </c>
      <c r="M92" s="723">
        <f t="shared" ca="1" si="15"/>
        <v>79.546374999999998</v>
      </c>
      <c r="N92" s="723">
        <f t="shared" ca="1" si="15"/>
        <v>79.546374999999998</v>
      </c>
      <c r="O92" s="480" t="s">
        <v>1314</v>
      </c>
    </row>
    <row r="93" spans="1:29" s="147" customFormat="1">
      <c r="P93" s="154"/>
    </row>
    <row r="94" spans="1:29" s="149" customFormat="1">
      <c r="A94" s="148"/>
      <c r="C94" s="149" t="s">
        <v>939</v>
      </c>
      <c r="E94" s="150"/>
      <c r="F94" s="150"/>
      <c r="G94" s="150"/>
      <c r="H94" s="150"/>
      <c r="I94" s="150"/>
      <c r="J94" s="150"/>
      <c r="K94" s="150"/>
      <c r="L94" s="150"/>
      <c r="M94" s="150"/>
      <c r="N94" s="150"/>
    </row>
    <row r="95" spans="1:29" s="147" customFormat="1">
      <c r="C95" s="428" t="s">
        <v>938</v>
      </c>
      <c r="E95" s="426"/>
      <c r="J95" s="426"/>
    </row>
    <row r="96" spans="1:29" s="147" customFormat="1">
      <c r="E96" s="426"/>
      <c r="J96" s="426"/>
    </row>
    <row r="97" spans="1:28" s="147" customFormat="1">
      <c r="D97" s="427" t="str">
        <f t="shared" ref="D97:D107" si="16">C115</f>
        <v>Execution</v>
      </c>
      <c r="E97" s="416">
        <f t="shared" ref="E97:I107" ca="1" si="17">E115</f>
        <v>-0.45362499999999917</v>
      </c>
      <c r="F97" s="416">
        <f t="shared" ca="1" si="17"/>
        <v>-0.45362499999999917</v>
      </c>
      <c r="G97" s="416">
        <f t="shared" ca="1" si="17"/>
        <v>-0.45362499999999917</v>
      </c>
      <c r="H97" s="416">
        <f t="shared" ca="1" si="17"/>
        <v>-0.45362499999999917</v>
      </c>
      <c r="I97" s="416">
        <f t="shared" ca="1" si="17"/>
        <v>-0.45362499999999917</v>
      </c>
      <c r="J97" s="416">
        <f t="shared" ref="J97:N107" ca="1" si="18">J115</f>
        <v>-0.45362499999999917</v>
      </c>
      <c r="K97" s="416">
        <f t="shared" ca="1" si="18"/>
        <v>-0.45362499999999917</v>
      </c>
      <c r="L97" s="416">
        <f t="shared" ca="1" si="18"/>
        <v>-0.45362499999999917</v>
      </c>
      <c r="M97" s="416">
        <f t="shared" ca="1" si="18"/>
        <v>-0.45362499999999917</v>
      </c>
      <c r="N97" s="416">
        <f t="shared" ca="1" si="18"/>
        <v>-0.45362499999999917</v>
      </c>
    </row>
    <row r="98" spans="1:28" s="147" customFormat="1">
      <c r="D98" s="427" t="str">
        <f t="shared" si="16"/>
        <v>Talent Development</v>
      </c>
      <c r="E98" s="416">
        <f t="shared" si="17"/>
        <v>0</v>
      </c>
      <c r="F98" s="416">
        <f t="shared" si="17"/>
        <v>0</v>
      </c>
      <c r="G98" s="416">
        <f t="shared" si="17"/>
        <v>0</v>
      </c>
      <c r="H98" s="416">
        <f t="shared" si="17"/>
        <v>0</v>
      </c>
      <c r="I98" s="416">
        <f t="shared" si="17"/>
        <v>0</v>
      </c>
      <c r="J98" s="416">
        <f t="shared" si="18"/>
        <v>0</v>
      </c>
      <c r="K98" s="416">
        <f t="shared" si="18"/>
        <v>0</v>
      </c>
      <c r="L98" s="416">
        <f t="shared" si="18"/>
        <v>0</v>
      </c>
      <c r="M98" s="416">
        <f t="shared" si="18"/>
        <v>0</v>
      </c>
      <c r="N98" s="416">
        <f t="shared" si="18"/>
        <v>0</v>
      </c>
    </row>
    <row r="99" spans="1:28" s="147" customFormat="1">
      <c r="D99" s="427" t="str">
        <f t="shared" si="16"/>
        <v>Culture</v>
      </c>
      <c r="E99" s="416">
        <f t="shared" si="17"/>
        <v>0</v>
      </c>
      <c r="F99" s="416">
        <f t="shared" si="17"/>
        <v>0</v>
      </c>
      <c r="G99" s="416">
        <f t="shared" si="17"/>
        <v>0</v>
      </c>
      <c r="H99" s="416">
        <f t="shared" si="17"/>
        <v>0</v>
      </c>
      <c r="I99" s="416">
        <f t="shared" si="17"/>
        <v>0</v>
      </c>
      <c r="J99" s="416">
        <f t="shared" si="18"/>
        <v>0</v>
      </c>
      <c r="K99" s="416">
        <f t="shared" si="18"/>
        <v>0</v>
      </c>
      <c r="L99" s="416">
        <f t="shared" si="18"/>
        <v>0</v>
      </c>
      <c r="M99" s="416">
        <f t="shared" si="18"/>
        <v>0</v>
      </c>
      <c r="N99" s="416">
        <f t="shared" si="18"/>
        <v>0</v>
      </c>
    </row>
    <row r="100" spans="1:28" s="147" customFormat="1">
      <c r="D100" s="427" t="str">
        <f t="shared" si="16"/>
        <v xml:space="preserve">Driver 4 </v>
      </c>
      <c r="E100" s="416">
        <f t="shared" si="17"/>
        <v>0</v>
      </c>
      <c r="F100" s="416">
        <f t="shared" si="17"/>
        <v>0</v>
      </c>
      <c r="G100" s="416">
        <f t="shared" si="17"/>
        <v>0</v>
      </c>
      <c r="H100" s="416">
        <f t="shared" si="17"/>
        <v>0</v>
      </c>
      <c r="I100" s="416">
        <f t="shared" si="17"/>
        <v>0</v>
      </c>
      <c r="J100" s="416">
        <f t="shared" si="18"/>
        <v>0</v>
      </c>
      <c r="K100" s="416">
        <f t="shared" si="18"/>
        <v>0</v>
      </c>
      <c r="L100" s="416">
        <f t="shared" si="18"/>
        <v>0</v>
      </c>
      <c r="M100" s="416">
        <f t="shared" si="18"/>
        <v>0</v>
      </c>
      <c r="N100" s="416">
        <f t="shared" si="18"/>
        <v>0</v>
      </c>
    </row>
    <row r="101" spans="1:28" s="147" customFormat="1">
      <c r="D101" s="427" t="str">
        <f t="shared" si="16"/>
        <v xml:space="preserve">Driver 5 </v>
      </c>
      <c r="E101" s="416">
        <f t="shared" si="17"/>
        <v>0</v>
      </c>
      <c r="F101" s="416">
        <f t="shared" si="17"/>
        <v>0</v>
      </c>
      <c r="G101" s="416">
        <f t="shared" si="17"/>
        <v>0</v>
      </c>
      <c r="H101" s="416">
        <f t="shared" si="17"/>
        <v>0</v>
      </c>
      <c r="I101" s="416">
        <f t="shared" si="17"/>
        <v>0</v>
      </c>
      <c r="J101" s="416">
        <f t="shared" si="18"/>
        <v>0</v>
      </c>
      <c r="K101" s="416">
        <f t="shared" si="18"/>
        <v>0</v>
      </c>
      <c r="L101" s="416">
        <f t="shared" si="18"/>
        <v>0</v>
      </c>
      <c r="M101" s="416">
        <f t="shared" si="18"/>
        <v>0</v>
      </c>
      <c r="N101" s="416">
        <f t="shared" si="18"/>
        <v>0</v>
      </c>
    </row>
    <row r="102" spans="1:28" s="147" customFormat="1">
      <c r="D102" s="427" t="str">
        <f t="shared" si="16"/>
        <v xml:space="preserve">Driver 6 </v>
      </c>
      <c r="E102" s="416">
        <f t="shared" si="17"/>
        <v>0</v>
      </c>
      <c r="F102" s="416">
        <f t="shared" si="17"/>
        <v>0</v>
      </c>
      <c r="G102" s="416">
        <f t="shared" si="17"/>
        <v>0</v>
      </c>
      <c r="H102" s="416">
        <f t="shared" si="17"/>
        <v>0</v>
      </c>
      <c r="I102" s="416">
        <f t="shared" si="17"/>
        <v>0</v>
      </c>
      <c r="J102" s="416">
        <f t="shared" si="18"/>
        <v>0</v>
      </c>
      <c r="K102" s="416">
        <f t="shared" si="18"/>
        <v>0</v>
      </c>
      <c r="L102" s="416">
        <f t="shared" si="18"/>
        <v>0</v>
      </c>
      <c r="M102" s="416">
        <f t="shared" si="18"/>
        <v>0</v>
      </c>
      <c r="N102" s="416">
        <f t="shared" si="18"/>
        <v>0</v>
      </c>
    </row>
    <row r="103" spans="1:28" s="147" customFormat="1">
      <c r="D103" s="427" t="str">
        <f t="shared" si="16"/>
        <v xml:space="preserve">Driver 7 </v>
      </c>
      <c r="E103" s="416">
        <f t="shared" si="17"/>
        <v>0</v>
      </c>
      <c r="F103" s="416">
        <f t="shared" si="17"/>
        <v>0</v>
      </c>
      <c r="G103" s="416">
        <f t="shared" si="17"/>
        <v>0</v>
      </c>
      <c r="H103" s="416">
        <f t="shared" si="17"/>
        <v>0</v>
      </c>
      <c r="I103" s="416">
        <f t="shared" si="17"/>
        <v>0</v>
      </c>
      <c r="J103" s="416">
        <f t="shared" si="18"/>
        <v>0</v>
      </c>
      <c r="K103" s="416">
        <f t="shared" si="18"/>
        <v>0</v>
      </c>
      <c r="L103" s="416">
        <f t="shared" si="18"/>
        <v>0</v>
      </c>
      <c r="M103" s="416">
        <f t="shared" si="18"/>
        <v>0</v>
      </c>
      <c r="N103" s="416">
        <f t="shared" si="18"/>
        <v>0</v>
      </c>
    </row>
    <row r="104" spans="1:28" s="147" customFormat="1">
      <c r="D104" s="427" t="str">
        <f t="shared" si="16"/>
        <v xml:space="preserve">Driver 8 </v>
      </c>
      <c r="E104" s="416">
        <f t="shared" si="17"/>
        <v>0</v>
      </c>
      <c r="F104" s="416">
        <f t="shared" si="17"/>
        <v>0</v>
      </c>
      <c r="G104" s="416">
        <f t="shared" si="17"/>
        <v>0</v>
      </c>
      <c r="H104" s="416">
        <f t="shared" si="17"/>
        <v>0</v>
      </c>
      <c r="I104" s="416">
        <f t="shared" si="17"/>
        <v>0</v>
      </c>
      <c r="J104" s="416">
        <f t="shared" si="18"/>
        <v>0</v>
      </c>
      <c r="K104" s="416">
        <f t="shared" si="18"/>
        <v>0</v>
      </c>
      <c r="L104" s="416">
        <f t="shared" si="18"/>
        <v>0</v>
      </c>
      <c r="M104" s="416">
        <f t="shared" si="18"/>
        <v>0</v>
      </c>
      <c r="N104" s="416">
        <f t="shared" si="18"/>
        <v>0</v>
      </c>
    </row>
    <row r="105" spans="1:28" s="147" customFormat="1">
      <c r="D105" s="427" t="str">
        <f t="shared" si="16"/>
        <v xml:space="preserve">Driver 9 </v>
      </c>
      <c r="E105" s="416">
        <f t="shared" si="17"/>
        <v>0</v>
      </c>
      <c r="F105" s="416">
        <f t="shared" si="17"/>
        <v>0</v>
      </c>
      <c r="G105" s="416">
        <f t="shared" si="17"/>
        <v>0</v>
      </c>
      <c r="H105" s="416">
        <f t="shared" si="17"/>
        <v>0</v>
      </c>
      <c r="I105" s="416">
        <f t="shared" si="17"/>
        <v>0</v>
      </c>
      <c r="J105" s="416">
        <f t="shared" si="18"/>
        <v>0</v>
      </c>
      <c r="K105" s="416">
        <f t="shared" si="18"/>
        <v>0</v>
      </c>
      <c r="L105" s="416">
        <f t="shared" si="18"/>
        <v>0</v>
      </c>
      <c r="M105" s="416">
        <f t="shared" si="18"/>
        <v>0</v>
      </c>
      <c r="N105" s="416">
        <f t="shared" si="18"/>
        <v>0</v>
      </c>
    </row>
    <row r="106" spans="1:28" s="147" customFormat="1">
      <c r="D106" s="427" t="str">
        <f t="shared" si="16"/>
        <v xml:space="preserve">Driver 10 </v>
      </c>
      <c r="E106" s="416">
        <f t="shared" si="17"/>
        <v>0</v>
      </c>
      <c r="F106" s="416">
        <f t="shared" si="17"/>
        <v>0</v>
      </c>
      <c r="G106" s="416">
        <f t="shared" si="17"/>
        <v>0</v>
      </c>
      <c r="H106" s="416">
        <f t="shared" si="17"/>
        <v>0</v>
      </c>
      <c r="I106" s="416">
        <f t="shared" si="17"/>
        <v>0</v>
      </c>
      <c r="J106" s="416">
        <f t="shared" si="18"/>
        <v>0</v>
      </c>
      <c r="K106" s="416">
        <f t="shared" si="18"/>
        <v>0</v>
      </c>
      <c r="L106" s="416">
        <f t="shared" si="18"/>
        <v>0</v>
      </c>
      <c r="M106" s="416">
        <f t="shared" si="18"/>
        <v>0</v>
      </c>
      <c r="N106" s="416">
        <f t="shared" si="18"/>
        <v>0</v>
      </c>
    </row>
    <row r="107" spans="1:28" s="147" customFormat="1">
      <c r="D107" s="427" t="str">
        <f t="shared" si="16"/>
        <v>Challenges</v>
      </c>
      <c r="E107" s="416">
        <f t="shared" si="17"/>
        <v>0</v>
      </c>
      <c r="F107" s="416">
        <f t="shared" si="17"/>
        <v>0</v>
      </c>
      <c r="G107" s="416">
        <f t="shared" si="17"/>
        <v>0</v>
      </c>
      <c r="H107" s="416">
        <f t="shared" si="17"/>
        <v>0</v>
      </c>
      <c r="I107" s="416">
        <f t="shared" si="17"/>
        <v>0</v>
      </c>
      <c r="J107" s="416">
        <f t="shared" si="18"/>
        <v>0</v>
      </c>
      <c r="K107" s="416">
        <f t="shared" si="18"/>
        <v>0</v>
      </c>
      <c r="L107" s="416">
        <f t="shared" si="18"/>
        <v>0</v>
      </c>
      <c r="M107" s="416">
        <f t="shared" si="18"/>
        <v>0</v>
      </c>
      <c r="N107" s="416">
        <f t="shared" si="18"/>
        <v>0</v>
      </c>
    </row>
    <row r="108" spans="1:28" s="147" customFormat="1">
      <c r="D108" s="427" t="str">
        <f>"Ending "&amp;$D$18</f>
        <v>Ending WHI</v>
      </c>
      <c r="E108" s="416">
        <f t="shared" ref="E108:N108" ca="1" si="19">E128</f>
        <v>79.546374999999998</v>
      </c>
      <c r="F108" s="416">
        <f t="shared" ca="1" si="19"/>
        <v>79.546374999999998</v>
      </c>
      <c r="G108" s="416">
        <f t="shared" ca="1" si="19"/>
        <v>79.546374999999998</v>
      </c>
      <c r="H108" s="416">
        <f t="shared" ca="1" si="19"/>
        <v>79.546374999999998</v>
      </c>
      <c r="I108" s="416">
        <f t="shared" ca="1" si="19"/>
        <v>79.546374999999998</v>
      </c>
      <c r="J108" s="416">
        <f t="shared" ca="1" si="19"/>
        <v>79.546374999999998</v>
      </c>
      <c r="K108" s="416">
        <f t="shared" ca="1" si="19"/>
        <v>79.546374999999998</v>
      </c>
      <c r="L108" s="416">
        <f t="shared" ca="1" si="19"/>
        <v>79.546374999999998</v>
      </c>
      <c r="M108" s="416">
        <f t="shared" ca="1" si="19"/>
        <v>79.546374999999998</v>
      </c>
      <c r="N108" s="416">
        <f t="shared" ca="1" si="19"/>
        <v>79.546374999999998</v>
      </c>
    </row>
    <row r="109" spans="1:28" s="147" customFormat="1">
      <c r="E109" s="426"/>
      <c r="J109" s="426"/>
    </row>
    <row r="110" spans="1:28" s="149" customFormat="1" ht="20.100000000000001" customHeight="1">
      <c r="C110" s="162" t="s">
        <v>119</v>
      </c>
      <c r="D110" s="163"/>
      <c r="E110" s="163"/>
      <c r="F110" s="163"/>
      <c r="G110" s="163"/>
      <c r="H110" s="163"/>
      <c r="I110" s="163"/>
      <c r="J110" s="163"/>
      <c r="K110" s="163"/>
      <c r="L110" s="163"/>
      <c r="M110" s="163"/>
      <c r="N110" s="163"/>
      <c r="O110" s="163"/>
      <c r="P110" s="163"/>
      <c r="Q110" s="163"/>
      <c r="R110" s="163"/>
      <c r="S110" s="163"/>
      <c r="T110" s="163"/>
      <c r="U110" s="163"/>
      <c r="V110" s="163"/>
      <c r="X110" s="163"/>
      <c r="AB110" s="163"/>
    </row>
    <row r="111" spans="1:28" s="147" customFormat="1">
      <c r="P111" s="154"/>
    </row>
    <row r="112" spans="1:28" s="149" customFormat="1">
      <c r="A112" s="148"/>
      <c r="C112" s="149" t="s">
        <v>937</v>
      </c>
      <c r="E112" s="150"/>
      <c r="F112" s="150"/>
      <c r="G112" s="150"/>
      <c r="H112" s="150"/>
      <c r="I112" s="150"/>
      <c r="J112" s="150"/>
      <c r="K112" s="150"/>
      <c r="L112" s="150"/>
      <c r="M112" s="150"/>
      <c r="N112" s="150"/>
    </row>
    <row r="113" spans="2:14">
      <c r="B113" s="159"/>
      <c r="D113" s="160"/>
      <c r="E113" s="161"/>
      <c r="F113" s="161"/>
      <c r="G113" s="161"/>
      <c r="H113" s="161"/>
      <c r="I113" s="161"/>
      <c r="J113" s="161"/>
      <c r="K113" s="161"/>
      <c r="L113" s="161"/>
      <c r="M113" s="161"/>
      <c r="N113" s="161"/>
    </row>
    <row r="114" spans="2:14" s="147" customFormat="1">
      <c r="C114" s="155" t="str">
        <f>"Opening "&amp;$D$18</f>
        <v>Opening WHI</v>
      </c>
      <c r="D114" s="426" t="s">
        <v>936</v>
      </c>
      <c r="E114" s="416">
        <f t="shared" ref="E114:N114" si="20">E$27</f>
        <v>80</v>
      </c>
      <c r="F114" s="416">
        <f t="shared" si="20"/>
        <v>80</v>
      </c>
      <c r="G114" s="416">
        <f t="shared" si="20"/>
        <v>80</v>
      </c>
      <c r="H114" s="416">
        <f t="shared" si="20"/>
        <v>80</v>
      </c>
      <c r="I114" s="416">
        <f t="shared" si="20"/>
        <v>80</v>
      </c>
      <c r="J114" s="1203">
        <f t="shared" si="20"/>
        <v>80</v>
      </c>
      <c r="K114" s="1203">
        <f t="shared" si="20"/>
        <v>80</v>
      </c>
      <c r="L114" s="1203">
        <f t="shared" si="20"/>
        <v>80</v>
      </c>
      <c r="M114" s="1203">
        <f t="shared" si="20"/>
        <v>80</v>
      </c>
      <c r="N114" s="1203">
        <f t="shared" si="20"/>
        <v>80</v>
      </c>
    </row>
    <row r="115" spans="2:14" s="147" customFormat="1">
      <c r="C115" s="155" t="str">
        <f>C$31</f>
        <v>Execution</v>
      </c>
      <c r="D115" s="416" t="str">
        <f>P31</f>
        <v>Non-Linear</v>
      </c>
      <c r="E115" s="416">
        <f t="shared" ref="E115:N115" ca="1" si="21">IF($P31="Absolute",E132,IF($P31="Relative",E156,IF($P31="Relative Change",SUM(E169:E170),IF($P31="Non-Linear",E34,0))))</f>
        <v>-0.45362499999999917</v>
      </c>
      <c r="F115" s="416">
        <f t="shared" ca="1" si="21"/>
        <v>-0.45362499999999917</v>
      </c>
      <c r="G115" s="416">
        <f t="shared" ca="1" si="21"/>
        <v>-0.45362499999999917</v>
      </c>
      <c r="H115" s="416">
        <f t="shared" ca="1" si="21"/>
        <v>-0.45362499999999917</v>
      </c>
      <c r="I115" s="416">
        <f t="shared" ca="1" si="21"/>
        <v>-0.45362499999999917</v>
      </c>
      <c r="J115" s="1203">
        <f t="shared" ca="1" si="21"/>
        <v>-0.45362499999999917</v>
      </c>
      <c r="K115" s="1203">
        <f t="shared" ca="1" si="21"/>
        <v>-0.45362499999999917</v>
      </c>
      <c r="L115" s="1203">
        <f t="shared" ca="1" si="21"/>
        <v>-0.45362499999999917</v>
      </c>
      <c r="M115" s="1203">
        <f t="shared" ca="1" si="21"/>
        <v>-0.45362499999999917</v>
      </c>
      <c r="N115" s="1203">
        <f t="shared" ca="1" si="21"/>
        <v>-0.45362499999999917</v>
      </c>
    </row>
    <row r="116" spans="2:14" s="147" customFormat="1">
      <c r="C116" s="155" t="str">
        <f>C$36</f>
        <v>Talent Development</v>
      </c>
      <c r="D116" s="416" t="str">
        <f>P36</f>
        <v>Non-Linear</v>
      </c>
      <c r="E116" s="416">
        <f t="shared" ref="E116:N116" si="22">IF($P36="Absolute",E133,IF($P36="Relative",E157,IF($P36="Relative Change",SUM(E171:E172),IF($P36="Non-Linear",E39,0))))</f>
        <v>0</v>
      </c>
      <c r="F116" s="416">
        <f t="shared" si="22"/>
        <v>0</v>
      </c>
      <c r="G116" s="416">
        <f t="shared" si="22"/>
        <v>0</v>
      </c>
      <c r="H116" s="416">
        <f t="shared" si="22"/>
        <v>0</v>
      </c>
      <c r="I116" s="416">
        <f t="shared" si="22"/>
        <v>0</v>
      </c>
      <c r="J116" s="1203">
        <f t="shared" si="22"/>
        <v>0</v>
      </c>
      <c r="K116" s="1203">
        <f t="shared" si="22"/>
        <v>0</v>
      </c>
      <c r="L116" s="1203">
        <f t="shared" si="22"/>
        <v>0</v>
      </c>
      <c r="M116" s="1203">
        <f t="shared" si="22"/>
        <v>0</v>
      </c>
      <c r="N116" s="1203">
        <f t="shared" si="22"/>
        <v>0</v>
      </c>
    </row>
    <row r="117" spans="2:14" s="147" customFormat="1">
      <c r="C117" s="155" t="str">
        <f>C$41</f>
        <v>Culture</v>
      </c>
      <c r="D117" s="416" t="str">
        <f>P41</f>
        <v>Non-Linear</v>
      </c>
      <c r="E117" s="416">
        <f t="shared" ref="E117:N117" si="23">IF($P41="Absolute",E134,IF($P41="Relative",E158,IF($P41="Relative Change",SUM(E173:E174),IF($P41="Non-Linear",E44,0))))</f>
        <v>0</v>
      </c>
      <c r="F117" s="416">
        <f t="shared" si="23"/>
        <v>0</v>
      </c>
      <c r="G117" s="416">
        <f t="shared" si="23"/>
        <v>0</v>
      </c>
      <c r="H117" s="416">
        <f t="shared" si="23"/>
        <v>0</v>
      </c>
      <c r="I117" s="416">
        <f t="shared" si="23"/>
        <v>0</v>
      </c>
      <c r="J117" s="1203">
        <f t="shared" si="23"/>
        <v>0</v>
      </c>
      <c r="K117" s="1203">
        <f t="shared" si="23"/>
        <v>0</v>
      </c>
      <c r="L117" s="1203">
        <f t="shared" si="23"/>
        <v>0</v>
      </c>
      <c r="M117" s="1203">
        <f t="shared" si="23"/>
        <v>0</v>
      </c>
      <c r="N117" s="1203">
        <f t="shared" si="23"/>
        <v>0</v>
      </c>
    </row>
    <row r="118" spans="2:14" s="147" customFormat="1">
      <c r="C118" s="155" t="str">
        <f>C$46</f>
        <v xml:space="preserve">Driver 4 </v>
      </c>
      <c r="D118" s="416">
        <f>P46</f>
        <v>0</v>
      </c>
      <c r="E118" s="416">
        <f t="shared" ref="E118:N118" si="24">IF($P46="Absolute",E135,IF($P46="Relative",E159,IF($P46="Relative Change",SUM(E175:E176),IF($P46="Non-Linear",E49,0))))</f>
        <v>0</v>
      </c>
      <c r="F118" s="416">
        <f t="shared" si="24"/>
        <v>0</v>
      </c>
      <c r="G118" s="416">
        <f t="shared" si="24"/>
        <v>0</v>
      </c>
      <c r="H118" s="416">
        <f t="shared" si="24"/>
        <v>0</v>
      </c>
      <c r="I118" s="416">
        <f t="shared" si="24"/>
        <v>0</v>
      </c>
      <c r="J118" s="1203">
        <f t="shared" si="24"/>
        <v>0</v>
      </c>
      <c r="K118" s="1203">
        <f t="shared" si="24"/>
        <v>0</v>
      </c>
      <c r="L118" s="1203">
        <f t="shared" si="24"/>
        <v>0</v>
      </c>
      <c r="M118" s="1203">
        <f t="shared" si="24"/>
        <v>0</v>
      </c>
      <c r="N118" s="1203">
        <f t="shared" si="24"/>
        <v>0</v>
      </c>
    </row>
    <row r="119" spans="2:14" s="147" customFormat="1">
      <c r="C119" s="155" t="str">
        <f>C$51</f>
        <v xml:space="preserve">Driver 5 </v>
      </c>
      <c r="D119" s="416">
        <f>P51</f>
        <v>0</v>
      </c>
      <c r="E119" s="416">
        <f t="shared" ref="E119:N119" si="25">IF($P51="Absolute",E136,IF($P51="Relative",E160,IF($P51="Relative Change",SUM(E177:E178),IF($P51="Non-Linear",E54,0))))</f>
        <v>0</v>
      </c>
      <c r="F119" s="416">
        <f t="shared" si="25"/>
        <v>0</v>
      </c>
      <c r="G119" s="416">
        <f t="shared" si="25"/>
        <v>0</v>
      </c>
      <c r="H119" s="416">
        <f t="shared" si="25"/>
        <v>0</v>
      </c>
      <c r="I119" s="416">
        <f t="shared" si="25"/>
        <v>0</v>
      </c>
      <c r="J119" s="1203">
        <f t="shared" si="25"/>
        <v>0</v>
      </c>
      <c r="K119" s="1203">
        <f t="shared" si="25"/>
        <v>0</v>
      </c>
      <c r="L119" s="1203">
        <f t="shared" si="25"/>
        <v>0</v>
      </c>
      <c r="M119" s="1203">
        <f t="shared" si="25"/>
        <v>0</v>
      </c>
      <c r="N119" s="1203">
        <f t="shared" si="25"/>
        <v>0</v>
      </c>
    </row>
    <row r="120" spans="2:14" s="147" customFormat="1">
      <c r="C120" s="155" t="str">
        <f>C$56</f>
        <v xml:space="preserve">Driver 6 </v>
      </c>
      <c r="D120" s="416">
        <f>P56</f>
        <v>0</v>
      </c>
      <c r="E120" s="416">
        <f t="shared" ref="E120:N120" si="26">IF($P56="Absolute",E137,IF($P56="Relative",E161,IF($P56="Relative Change",SUM(E179:E180),IF($P56="Non-Linear",E59,0))))</f>
        <v>0</v>
      </c>
      <c r="F120" s="416">
        <f t="shared" si="26"/>
        <v>0</v>
      </c>
      <c r="G120" s="416">
        <f t="shared" si="26"/>
        <v>0</v>
      </c>
      <c r="H120" s="416">
        <f t="shared" si="26"/>
        <v>0</v>
      </c>
      <c r="I120" s="416">
        <f t="shared" si="26"/>
        <v>0</v>
      </c>
      <c r="J120" s="1203">
        <f t="shared" si="26"/>
        <v>0</v>
      </c>
      <c r="K120" s="1203">
        <f t="shared" si="26"/>
        <v>0</v>
      </c>
      <c r="L120" s="1203">
        <f t="shared" si="26"/>
        <v>0</v>
      </c>
      <c r="M120" s="1203">
        <f t="shared" si="26"/>
        <v>0</v>
      </c>
      <c r="N120" s="1203">
        <f t="shared" si="26"/>
        <v>0</v>
      </c>
    </row>
    <row r="121" spans="2:14" s="147" customFormat="1">
      <c r="C121" s="155" t="str">
        <f>C$61</f>
        <v xml:space="preserve">Driver 7 </v>
      </c>
      <c r="D121" s="416">
        <f>P61</f>
        <v>0</v>
      </c>
      <c r="E121" s="416">
        <f t="shared" ref="E121:N121" si="27">IF($P61="Absolute",E138,IF($P61="Relative",E162,IF($P61="Relative Change",SUM(E181:E182),IF($P61="Non-Linear",E64,0))))</f>
        <v>0</v>
      </c>
      <c r="F121" s="416">
        <f t="shared" si="27"/>
        <v>0</v>
      </c>
      <c r="G121" s="416">
        <f t="shared" si="27"/>
        <v>0</v>
      </c>
      <c r="H121" s="416">
        <f t="shared" si="27"/>
        <v>0</v>
      </c>
      <c r="I121" s="416">
        <f t="shared" si="27"/>
        <v>0</v>
      </c>
      <c r="J121" s="1203">
        <f t="shared" si="27"/>
        <v>0</v>
      </c>
      <c r="K121" s="1203">
        <f t="shared" si="27"/>
        <v>0</v>
      </c>
      <c r="L121" s="1203">
        <f t="shared" si="27"/>
        <v>0</v>
      </c>
      <c r="M121" s="1203">
        <f t="shared" si="27"/>
        <v>0</v>
      </c>
      <c r="N121" s="1203">
        <f t="shared" si="27"/>
        <v>0</v>
      </c>
    </row>
    <row r="122" spans="2:14" s="147" customFormat="1">
      <c r="C122" s="155" t="str">
        <f>C$66</f>
        <v xml:space="preserve">Driver 8 </v>
      </c>
      <c r="D122" s="416">
        <f>P66</f>
        <v>0</v>
      </c>
      <c r="E122" s="416">
        <f t="shared" ref="E122:N122" si="28">IF($P66="Absolute",E139,IF($P66="Relative",E163,IF($P66="Relative Change",SUM(E183:E184),IF($P66="Non-Linear",E69,0))))</f>
        <v>0</v>
      </c>
      <c r="F122" s="416">
        <f t="shared" si="28"/>
        <v>0</v>
      </c>
      <c r="G122" s="416">
        <f t="shared" si="28"/>
        <v>0</v>
      </c>
      <c r="H122" s="416">
        <f t="shared" si="28"/>
        <v>0</v>
      </c>
      <c r="I122" s="416">
        <f t="shared" si="28"/>
        <v>0</v>
      </c>
      <c r="J122" s="1203">
        <f t="shared" si="28"/>
        <v>0</v>
      </c>
      <c r="K122" s="1203">
        <f t="shared" si="28"/>
        <v>0</v>
      </c>
      <c r="L122" s="1203">
        <f t="shared" si="28"/>
        <v>0</v>
      </c>
      <c r="M122" s="1203">
        <f t="shared" si="28"/>
        <v>0</v>
      </c>
      <c r="N122" s="1203">
        <f t="shared" si="28"/>
        <v>0</v>
      </c>
    </row>
    <row r="123" spans="2:14" s="147" customFormat="1">
      <c r="C123" s="155" t="str">
        <f>C$71</f>
        <v xml:space="preserve">Driver 9 </v>
      </c>
      <c r="D123" s="416">
        <f>P71</f>
        <v>0</v>
      </c>
      <c r="E123" s="416">
        <f t="shared" ref="E123:N123" si="29">IF($P71="Absolute",E140,IF($P71="Relative",E164,IF($P71="Relative Change",SUM(E185:E186),IF($P71="Non-Linear",E74,0))))</f>
        <v>0</v>
      </c>
      <c r="F123" s="416">
        <f t="shared" si="29"/>
        <v>0</v>
      </c>
      <c r="G123" s="416">
        <f t="shared" si="29"/>
        <v>0</v>
      </c>
      <c r="H123" s="416">
        <f t="shared" si="29"/>
        <v>0</v>
      </c>
      <c r="I123" s="416">
        <f t="shared" si="29"/>
        <v>0</v>
      </c>
      <c r="J123" s="1203">
        <f t="shared" si="29"/>
        <v>0</v>
      </c>
      <c r="K123" s="1203">
        <f t="shared" si="29"/>
        <v>0</v>
      </c>
      <c r="L123" s="1203">
        <f t="shared" si="29"/>
        <v>0</v>
      </c>
      <c r="M123" s="1203">
        <f t="shared" si="29"/>
        <v>0</v>
      </c>
      <c r="N123" s="1203">
        <f t="shared" si="29"/>
        <v>0</v>
      </c>
    </row>
    <row r="124" spans="2:14" s="147" customFormat="1">
      <c r="C124" s="155" t="str">
        <f>C$76</f>
        <v xml:space="preserve">Driver 10 </v>
      </c>
      <c r="D124" s="416">
        <f>P76</f>
        <v>0</v>
      </c>
      <c r="E124" s="416">
        <f t="shared" ref="E124:N124" si="30">IF($P76="Absolute",E141,IF($P76="Relative",E165,IF($P76="Relative Change",SUM(E187:E188),IF($P76="Non-Linear",E79,0))))</f>
        <v>0</v>
      </c>
      <c r="F124" s="416">
        <f t="shared" si="30"/>
        <v>0</v>
      </c>
      <c r="G124" s="416">
        <f t="shared" si="30"/>
        <v>0</v>
      </c>
      <c r="H124" s="416">
        <f t="shared" si="30"/>
        <v>0</v>
      </c>
      <c r="I124" s="416">
        <f t="shared" si="30"/>
        <v>0</v>
      </c>
      <c r="J124" s="1203">
        <f t="shared" si="30"/>
        <v>0</v>
      </c>
      <c r="K124" s="1203">
        <f t="shared" si="30"/>
        <v>0</v>
      </c>
      <c r="L124" s="1203">
        <f t="shared" si="30"/>
        <v>0</v>
      </c>
      <c r="M124" s="1203">
        <f t="shared" si="30"/>
        <v>0</v>
      </c>
      <c r="N124" s="1203">
        <f t="shared" si="30"/>
        <v>0</v>
      </c>
    </row>
    <row r="125" spans="2:14" s="147" customFormat="1">
      <c r="C125" s="480" t="s">
        <v>986</v>
      </c>
      <c r="E125" s="416">
        <f t="shared" ref="E125:N125" si="31">E$81</f>
        <v>0</v>
      </c>
      <c r="F125" s="416">
        <f t="shared" si="31"/>
        <v>0</v>
      </c>
      <c r="G125" s="416">
        <f t="shared" si="31"/>
        <v>0</v>
      </c>
      <c r="H125" s="416">
        <f t="shared" si="31"/>
        <v>0</v>
      </c>
      <c r="I125" s="416">
        <f t="shared" si="31"/>
        <v>0</v>
      </c>
      <c r="J125" s="1203">
        <f t="shared" si="31"/>
        <v>0</v>
      </c>
      <c r="K125" s="1203">
        <f t="shared" si="31"/>
        <v>0</v>
      </c>
      <c r="L125" s="1203">
        <f t="shared" si="31"/>
        <v>0</v>
      </c>
      <c r="M125" s="1203">
        <f t="shared" si="31"/>
        <v>0</v>
      </c>
      <c r="N125" s="1203">
        <f t="shared" si="31"/>
        <v>0</v>
      </c>
    </row>
    <row r="126" spans="2:14" s="147" customFormat="1">
      <c r="C126" s="147" t="s">
        <v>935</v>
      </c>
      <c r="E126" s="416">
        <f t="shared" ref="E126:N126" si="32">E$83</f>
        <v>0</v>
      </c>
      <c r="F126" s="416">
        <f t="shared" si="32"/>
        <v>0</v>
      </c>
      <c r="G126" s="416">
        <f t="shared" si="32"/>
        <v>0</v>
      </c>
      <c r="H126" s="416">
        <f t="shared" si="32"/>
        <v>0</v>
      </c>
      <c r="I126" s="416">
        <f t="shared" si="32"/>
        <v>0</v>
      </c>
      <c r="J126" s="1203">
        <f t="shared" si="32"/>
        <v>0</v>
      </c>
      <c r="K126" s="1203">
        <f t="shared" si="32"/>
        <v>0</v>
      </c>
      <c r="L126" s="1203">
        <f t="shared" si="32"/>
        <v>0</v>
      </c>
      <c r="M126" s="1203">
        <f t="shared" si="32"/>
        <v>0</v>
      </c>
      <c r="N126" s="1203">
        <f t="shared" si="32"/>
        <v>0</v>
      </c>
    </row>
    <row r="127" spans="2:14" s="423" customFormat="1" ht="1.5" customHeight="1">
      <c r="D127" s="425"/>
      <c r="E127" s="424"/>
      <c r="F127" s="424"/>
      <c r="G127" s="424"/>
      <c r="H127" s="424"/>
      <c r="I127" s="424"/>
      <c r="J127" s="1204"/>
      <c r="K127" s="1204"/>
      <c r="L127" s="1204"/>
      <c r="M127" s="1204"/>
      <c r="N127" s="1204"/>
    </row>
    <row r="128" spans="2:14">
      <c r="C128" s="158" t="str">
        <f>"Ending "&amp;$D$18</f>
        <v>Ending WHI</v>
      </c>
      <c r="E128" s="416">
        <f t="shared" ref="E128:N128" ca="1" si="33">MAX(MIN(IF($D$22=0,E114,SUM(E114:E126)),$E$85),$E$86)</f>
        <v>79.546374999999998</v>
      </c>
      <c r="F128" s="416">
        <f t="shared" ca="1" si="33"/>
        <v>79.546374999999998</v>
      </c>
      <c r="G128" s="416">
        <f t="shared" ca="1" si="33"/>
        <v>79.546374999999998</v>
      </c>
      <c r="H128" s="416">
        <f t="shared" ca="1" si="33"/>
        <v>79.546374999999998</v>
      </c>
      <c r="I128" s="416">
        <f t="shared" ca="1" si="33"/>
        <v>79.546374999999998</v>
      </c>
      <c r="J128" s="1203">
        <f t="shared" ca="1" si="33"/>
        <v>79.546374999999998</v>
      </c>
      <c r="K128" s="1203">
        <f t="shared" ca="1" si="33"/>
        <v>79.546374999999998</v>
      </c>
      <c r="L128" s="1203">
        <f t="shared" ca="1" si="33"/>
        <v>79.546374999999998</v>
      </c>
      <c r="M128" s="1203">
        <f t="shared" ca="1" si="33"/>
        <v>79.546374999999998</v>
      </c>
      <c r="N128" s="1203">
        <f t="shared" ca="1" si="33"/>
        <v>79.546374999999998</v>
      </c>
    </row>
    <row r="129" spans="1:16" s="147" customFormat="1">
      <c r="P129" s="154"/>
    </row>
    <row r="130" spans="1:16" s="149" customFormat="1">
      <c r="A130" s="148"/>
      <c r="C130" s="149" t="s">
        <v>934</v>
      </c>
      <c r="E130" s="150"/>
      <c r="F130" s="150"/>
      <c r="G130" s="150"/>
      <c r="H130" s="150"/>
      <c r="I130" s="150"/>
      <c r="J130" s="150"/>
      <c r="K130" s="150"/>
      <c r="L130" s="150"/>
      <c r="M130" s="150"/>
      <c r="N130" s="150"/>
    </row>
    <row r="132" spans="1:16" s="147" customFormat="1">
      <c r="C132" s="155" t="str">
        <f>C$31</f>
        <v>Execution</v>
      </c>
      <c r="E132" s="416">
        <f t="shared" ref="E132:N132" si="34">INDEX($R32:$W32,E32+1)</f>
        <v>0</v>
      </c>
      <c r="F132" s="416">
        <f t="shared" si="34"/>
        <v>0</v>
      </c>
      <c r="G132" s="416">
        <f t="shared" si="34"/>
        <v>0</v>
      </c>
      <c r="H132" s="416">
        <f t="shared" si="34"/>
        <v>0</v>
      </c>
      <c r="I132" s="416">
        <f t="shared" si="34"/>
        <v>0</v>
      </c>
      <c r="J132" s="416">
        <f t="shared" si="34"/>
        <v>0</v>
      </c>
      <c r="K132" s="416">
        <f t="shared" si="34"/>
        <v>0</v>
      </c>
      <c r="L132" s="416">
        <f t="shared" si="34"/>
        <v>0</v>
      </c>
      <c r="M132" s="416">
        <f t="shared" si="34"/>
        <v>0</v>
      </c>
      <c r="N132" s="416">
        <f t="shared" si="34"/>
        <v>0</v>
      </c>
    </row>
    <row r="133" spans="1:16" s="147" customFormat="1">
      <c r="C133" s="155" t="str">
        <f>C$36</f>
        <v>Talent Development</v>
      </c>
      <c r="E133" s="416">
        <f t="shared" ref="E133:N133" si="35">INDEX($R37:$W37,E37+1)</f>
        <v>0</v>
      </c>
      <c r="F133" s="416">
        <f t="shared" si="35"/>
        <v>0</v>
      </c>
      <c r="G133" s="416">
        <f t="shared" si="35"/>
        <v>0</v>
      </c>
      <c r="H133" s="416">
        <f t="shared" si="35"/>
        <v>0</v>
      </c>
      <c r="I133" s="416">
        <f t="shared" si="35"/>
        <v>0</v>
      </c>
      <c r="J133" s="416">
        <f t="shared" si="35"/>
        <v>0</v>
      </c>
      <c r="K133" s="416">
        <f t="shared" si="35"/>
        <v>0</v>
      </c>
      <c r="L133" s="416">
        <f t="shared" si="35"/>
        <v>0</v>
      </c>
      <c r="M133" s="416">
        <f t="shared" si="35"/>
        <v>0</v>
      </c>
      <c r="N133" s="416">
        <f t="shared" si="35"/>
        <v>0</v>
      </c>
    </row>
    <row r="134" spans="1:16" s="147" customFormat="1">
      <c r="C134" s="155" t="str">
        <f>C$41</f>
        <v>Culture</v>
      </c>
      <c r="E134" s="416">
        <f t="shared" ref="E134:N134" si="36">INDEX($R42:$W42,E42+1)</f>
        <v>0</v>
      </c>
      <c r="F134" s="416">
        <f t="shared" si="36"/>
        <v>0</v>
      </c>
      <c r="G134" s="416">
        <f t="shared" si="36"/>
        <v>0</v>
      </c>
      <c r="H134" s="416">
        <f t="shared" si="36"/>
        <v>0</v>
      </c>
      <c r="I134" s="416">
        <f t="shared" si="36"/>
        <v>0</v>
      </c>
      <c r="J134" s="416">
        <f t="shared" si="36"/>
        <v>0</v>
      </c>
      <c r="K134" s="416">
        <f t="shared" si="36"/>
        <v>0</v>
      </c>
      <c r="L134" s="416">
        <f t="shared" si="36"/>
        <v>0</v>
      </c>
      <c r="M134" s="416">
        <f t="shared" si="36"/>
        <v>0</v>
      </c>
      <c r="N134" s="416">
        <f t="shared" si="36"/>
        <v>0</v>
      </c>
    </row>
    <row r="135" spans="1:16" s="147" customFormat="1">
      <c r="C135" s="155" t="str">
        <f>C$46</f>
        <v xml:space="preserve">Driver 4 </v>
      </c>
      <c r="E135" s="416">
        <f t="shared" ref="E135:N135" si="37">INDEX($R47:$W47,E47+1)</f>
        <v>0</v>
      </c>
      <c r="F135" s="416">
        <f t="shared" si="37"/>
        <v>0</v>
      </c>
      <c r="G135" s="416">
        <f t="shared" si="37"/>
        <v>0</v>
      </c>
      <c r="H135" s="416">
        <f t="shared" si="37"/>
        <v>0</v>
      </c>
      <c r="I135" s="416">
        <f t="shared" si="37"/>
        <v>0</v>
      </c>
      <c r="J135" s="416">
        <f t="shared" si="37"/>
        <v>0</v>
      </c>
      <c r="K135" s="416">
        <f t="shared" si="37"/>
        <v>0</v>
      </c>
      <c r="L135" s="416">
        <f t="shared" si="37"/>
        <v>0</v>
      </c>
      <c r="M135" s="416">
        <f t="shared" si="37"/>
        <v>0</v>
      </c>
      <c r="N135" s="416">
        <f t="shared" si="37"/>
        <v>0</v>
      </c>
    </row>
    <row r="136" spans="1:16" s="147" customFormat="1">
      <c r="C136" s="155" t="str">
        <f>C$51</f>
        <v xml:space="preserve">Driver 5 </v>
      </c>
      <c r="E136" s="416">
        <f t="shared" ref="E136:N136" si="38">INDEX($R52:$W52,E52+1)</f>
        <v>0</v>
      </c>
      <c r="F136" s="416">
        <f t="shared" si="38"/>
        <v>0</v>
      </c>
      <c r="G136" s="416">
        <f t="shared" si="38"/>
        <v>0</v>
      </c>
      <c r="H136" s="416">
        <f t="shared" si="38"/>
        <v>0</v>
      </c>
      <c r="I136" s="416">
        <f t="shared" si="38"/>
        <v>0</v>
      </c>
      <c r="J136" s="416">
        <f t="shared" si="38"/>
        <v>0</v>
      </c>
      <c r="K136" s="416">
        <f t="shared" si="38"/>
        <v>0</v>
      </c>
      <c r="L136" s="416">
        <f t="shared" si="38"/>
        <v>0</v>
      </c>
      <c r="M136" s="416">
        <f t="shared" si="38"/>
        <v>0</v>
      </c>
      <c r="N136" s="416">
        <f t="shared" si="38"/>
        <v>0</v>
      </c>
    </row>
    <row r="137" spans="1:16" s="147" customFormat="1">
      <c r="C137" s="155" t="str">
        <f>C$56</f>
        <v xml:space="preserve">Driver 6 </v>
      </c>
      <c r="E137" s="416">
        <f t="shared" ref="E137:N137" si="39">INDEX($R57:$W57,E57+1)</f>
        <v>0</v>
      </c>
      <c r="F137" s="416">
        <f t="shared" si="39"/>
        <v>0</v>
      </c>
      <c r="G137" s="416">
        <f t="shared" si="39"/>
        <v>0</v>
      </c>
      <c r="H137" s="416">
        <f t="shared" si="39"/>
        <v>0</v>
      </c>
      <c r="I137" s="416">
        <f t="shared" si="39"/>
        <v>0</v>
      </c>
      <c r="J137" s="416">
        <f t="shared" si="39"/>
        <v>0</v>
      </c>
      <c r="K137" s="416">
        <f t="shared" si="39"/>
        <v>0</v>
      </c>
      <c r="L137" s="416">
        <f t="shared" si="39"/>
        <v>0</v>
      </c>
      <c r="M137" s="416">
        <f t="shared" si="39"/>
        <v>0</v>
      </c>
      <c r="N137" s="416">
        <f t="shared" si="39"/>
        <v>0</v>
      </c>
    </row>
    <row r="138" spans="1:16" s="147" customFormat="1">
      <c r="C138" s="155" t="str">
        <f>C$61</f>
        <v xml:space="preserve">Driver 7 </v>
      </c>
      <c r="E138" s="416">
        <f t="shared" ref="E138:N138" si="40">INDEX($R62:$W62,E62+1)</f>
        <v>0</v>
      </c>
      <c r="F138" s="416">
        <f t="shared" si="40"/>
        <v>0</v>
      </c>
      <c r="G138" s="416">
        <f t="shared" si="40"/>
        <v>0</v>
      </c>
      <c r="H138" s="416">
        <f t="shared" si="40"/>
        <v>0</v>
      </c>
      <c r="I138" s="416">
        <f t="shared" si="40"/>
        <v>0</v>
      </c>
      <c r="J138" s="416">
        <f t="shared" si="40"/>
        <v>0</v>
      </c>
      <c r="K138" s="416">
        <f t="shared" si="40"/>
        <v>0</v>
      </c>
      <c r="L138" s="416">
        <f t="shared" si="40"/>
        <v>0</v>
      </c>
      <c r="M138" s="416">
        <f t="shared" si="40"/>
        <v>0</v>
      </c>
      <c r="N138" s="416">
        <f t="shared" si="40"/>
        <v>0</v>
      </c>
    </row>
    <row r="139" spans="1:16" s="147" customFormat="1">
      <c r="C139" s="155" t="str">
        <f>C$66</f>
        <v xml:space="preserve">Driver 8 </v>
      </c>
      <c r="E139" s="416">
        <f t="shared" ref="E139:N139" si="41">INDEX($R67:$W67,E67+1)</f>
        <v>0</v>
      </c>
      <c r="F139" s="416">
        <f t="shared" si="41"/>
        <v>0</v>
      </c>
      <c r="G139" s="416">
        <f t="shared" si="41"/>
        <v>0</v>
      </c>
      <c r="H139" s="416">
        <f t="shared" si="41"/>
        <v>0</v>
      </c>
      <c r="I139" s="416">
        <f t="shared" si="41"/>
        <v>0</v>
      </c>
      <c r="J139" s="416">
        <f t="shared" si="41"/>
        <v>0</v>
      </c>
      <c r="K139" s="416">
        <f t="shared" si="41"/>
        <v>0</v>
      </c>
      <c r="L139" s="416">
        <f t="shared" si="41"/>
        <v>0</v>
      </c>
      <c r="M139" s="416">
        <f t="shared" si="41"/>
        <v>0</v>
      </c>
      <c r="N139" s="416">
        <f t="shared" si="41"/>
        <v>0</v>
      </c>
    </row>
    <row r="140" spans="1:16" s="147" customFormat="1">
      <c r="C140" s="155" t="str">
        <f>C$71</f>
        <v xml:space="preserve">Driver 9 </v>
      </c>
      <c r="E140" s="416">
        <f t="shared" ref="E140:N140" si="42">INDEX($R72:$W72,E72+1)</f>
        <v>0</v>
      </c>
      <c r="F140" s="416">
        <f t="shared" si="42"/>
        <v>0</v>
      </c>
      <c r="G140" s="416">
        <f t="shared" si="42"/>
        <v>0</v>
      </c>
      <c r="H140" s="416">
        <f t="shared" si="42"/>
        <v>0</v>
      </c>
      <c r="I140" s="416">
        <f t="shared" si="42"/>
        <v>0</v>
      </c>
      <c r="J140" s="416">
        <f t="shared" si="42"/>
        <v>0</v>
      </c>
      <c r="K140" s="416">
        <f t="shared" si="42"/>
        <v>0</v>
      </c>
      <c r="L140" s="416">
        <f t="shared" si="42"/>
        <v>0</v>
      </c>
      <c r="M140" s="416">
        <f t="shared" si="42"/>
        <v>0</v>
      </c>
      <c r="N140" s="416">
        <f t="shared" si="42"/>
        <v>0</v>
      </c>
    </row>
    <row r="141" spans="1:16" s="147" customFormat="1">
      <c r="C141" s="155" t="str">
        <f>C$76</f>
        <v xml:space="preserve">Driver 10 </v>
      </c>
      <c r="E141" s="416">
        <f t="shared" ref="E141:N141" si="43">INDEX($R77:$W77,E77+1)</f>
        <v>0</v>
      </c>
      <c r="F141" s="416">
        <f t="shared" si="43"/>
        <v>0</v>
      </c>
      <c r="G141" s="416">
        <f t="shared" si="43"/>
        <v>0</v>
      </c>
      <c r="H141" s="416">
        <f t="shared" si="43"/>
        <v>0</v>
      </c>
      <c r="I141" s="416">
        <f t="shared" si="43"/>
        <v>0</v>
      </c>
      <c r="J141" s="416">
        <f t="shared" si="43"/>
        <v>0</v>
      </c>
      <c r="K141" s="416">
        <f t="shared" si="43"/>
        <v>0</v>
      </c>
      <c r="L141" s="416">
        <f t="shared" si="43"/>
        <v>0</v>
      </c>
      <c r="M141" s="416">
        <f t="shared" si="43"/>
        <v>0</v>
      </c>
      <c r="N141" s="416">
        <f t="shared" si="43"/>
        <v>0</v>
      </c>
    </row>
    <row r="142" spans="1:16" s="147" customFormat="1">
      <c r="P142" s="154"/>
    </row>
    <row r="143" spans="1:16" s="149" customFormat="1">
      <c r="A143" s="148"/>
      <c r="C143" s="149" t="s">
        <v>933</v>
      </c>
      <c r="E143" s="150"/>
      <c r="F143" s="150"/>
      <c r="G143" s="150"/>
      <c r="H143" s="150"/>
      <c r="I143" s="150"/>
      <c r="J143" s="150"/>
      <c r="K143" s="150"/>
      <c r="L143" s="150"/>
      <c r="M143" s="150"/>
      <c r="N143" s="150"/>
    </row>
    <row r="145" spans="3:16" s="147" customFormat="1">
      <c r="C145" s="155" t="str">
        <f>C$31</f>
        <v>Execution</v>
      </c>
      <c r="E145" s="416">
        <f t="shared" ref="E145:N145" si="44">_xlfn.NORM.DIST(E33,AVERAGE($E33:$N33),IF(_xlfn.STDEV.P($E33:$N33)=0,1,_xlfn.STDEV.P($E33:$N33))*$Z32,TRUE)</f>
        <v>0.5</v>
      </c>
      <c r="F145" s="416">
        <f t="shared" si="44"/>
        <v>0.5</v>
      </c>
      <c r="G145" s="416">
        <f t="shared" si="44"/>
        <v>0.5</v>
      </c>
      <c r="H145" s="416">
        <f t="shared" si="44"/>
        <v>0.5</v>
      </c>
      <c r="I145" s="416">
        <f t="shared" si="44"/>
        <v>0.5</v>
      </c>
      <c r="J145" s="416">
        <f t="shared" si="44"/>
        <v>0.5</v>
      </c>
      <c r="K145" s="416">
        <f t="shared" si="44"/>
        <v>0.5</v>
      </c>
      <c r="L145" s="416">
        <f t="shared" si="44"/>
        <v>0.5</v>
      </c>
      <c r="M145" s="416">
        <f t="shared" si="44"/>
        <v>0.5</v>
      </c>
      <c r="N145" s="416">
        <f t="shared" si="44"/>
        <v>0.5</v>
      </c>
      <c r="P145" s="416">
        <f t="shared" ref="P145:P154" si="45">IFERROR(AVERAGE(E145:I145),0)</f>
        <v>0.5</v>
      </c>
    </row>
    <row r="146" spans="3:16" s="147" customFormat="1">
      <c r="C146" s="155" t="str">
        <f>C$36</f>
        <v>Talent Development</v>
      </c>
      <c r="E146" s="416">
        <f t="shared" ref="E146:N146" si="46">_xlfn.NORM.DIST(E38,AVERAGE($E38:$N38),IF(_xlfn.STDEV.P($E38:$N38)=0,1,_xlfn.STDEV.P($E38:$N38))*$Z37,TRUE)</f>
        <v>0.5</v>
      </c>
      <c r="F146" s="416">
        <f t="shared" si="46"/>
        <v>0.5</v>
      </c>
      <c r="G146" s="416">
        <f t="shared" si="46"/>
        <v>0.5</v>
      </c>
      <c r="H146" s="416">
        <f t="shared" si="46"/>
        <v>0.5</v>
      </c>
      <c r="I146" s="416">
        <f t="shared" si="46"/>
        <v>0.5</v>
      </c>
      <c r="J146" s="416">
        <f t="shared" si="46"/>
        <v>0.5</v>
      </c>
      <c r="K146" s="416">
        <f t="shared" si="46"/>
        <v>0.5</v>
      </c>
      <c r="L146" s="416">
        <f t="shared" si="46"/>
        <v>0.5</v>
      </c>
      <c r="M146" s="416">
        <f t="shared" si="46"/>
        <v>0.5</v>
      </c>
      <c r="N146" s="416">
        <f t="shared" si="46"/>
        <v>0.5</v>
      </c>
      <c r="P146" s="416">
        <f t="shared" si="45"/>
        <v>0.5</v>
      </c>
    </row>
    <row r="147" spans="3:16" s="147" customFormat="1">
      <c r="C147" s="155" t="str">
        <f>C$41</f>
        <v>Culture</v>
      </c>
      <c r="E147" s="416">
        <f t="shared" ref="E147:N147" si="47">_xlfn.NORM.DIST(E43,AVERAGE($E43:$N43),IF(_xlfn.STDEV.P($E43:$N43)=0,1,_xlfn.STDEV.P($E43:$N43))*$Z42,TRUE)</f>
        <v>0.5</v>
      </c>
      <c r="F147" s="416">
        <f t="shared" si="47"/>
        <v>0.5</v>
      </c>
      <c r="G147" s="416">
        <f t="shared" si="47"/>
        <v>0.5</v>
      </c>
      <c r="H147" s="416">
        <f t="shared" si="47"/>
        <v>0.5</v>
      </c>
      <c r="I147" s="416">
        <f t="shared" si="47"/>
        <v>0.5</v>
      </c>
      <c r="J147" s="416">
        <f t="shared" si="47"/>
        <v>0.5</v>
      </c>
      <c r="K147" s="416">
        <f t="shared" si="47"/>
        <v>0.5</v>
      </c>
      <c r="L147" s="416">
        <f t="shared" si="47"/>
        <v>0.5</v>
      </c>
      <c r="M147" s="416">
        <f t="shared" si="47"/>
        <v>0.5</v>
      </c>
      <c r="N147" s="416">
        <f t="shared" si="47"/>
        <v>0.5</v>
      </c>
      <c r="P147" s="416">
        <f t="shared" si="45"/>
        <v>0.5</v>
      </c>
    </row>
    <row r="148" spans="3:16" s="147" customFormat="1">
      <c r="C148" s="155" t="str">
        <f>C$46</f>
        <v xml:space="preserve">Driver 4 </v>
      </c>
      <c r="E148" s="416">
        <f t="shared" ref="E148:N148" si="48">_xlfn.NORM.DIST(E48,AVERAGE($E48:$N48),IF(_xlfn.STDEV.P($E48:$N48)=0,1,_xlfn.STDEV.P($E48:$N48))*$Z47,TRUE)</f>
        <v>0.5</v>
      </c>
      <c r="F148" s="416">
        <f t="shared" si="48"/>
        <v>0.5</v>
      </c>
      <c r="G148" s="416">
        <f t="shared" si="48"/>
        <v>0.5</v>
      </c>
      <c r="H148" s="416">
        <f t="shared" si="48"/>
        <v>0.5</v>
      </c>
      <c r="I148" s="416">
        <f t="shared" si="48"/>
        <v>0.5</v>
      </c>
      <c r="J148" s="416">
        <f t="shared" si="48"/>
        <v>0.5</v>
      </c>
      <c r="K148" s="416">
        <f t="shared" si="48"/>
        <v>0.5</v>
      </c>
      <c r="L148" s="416">
        <f t="shared" si="48"/>
        <v>0.5</v>
      </c>
      <c r="M148" s="416">
        <f t="shared" si="48"/>
        <v>0.5</v>
      </c>
      <c r="N148" s="416">
        <f t="shared" si="48"/>
        <v>0.5</v>
      </c>
      <c r="P148" s="416">
        <f t="shared" si="45"/>
        <v>0.5</v>
      </c>
    </row>
    <row r="149" spans="3:16" s="147" customFormat="1">
      <c r="C149" s="155" t="str">
        <f>C$51</f>
        <v xml:space="preserve">Driver 5 </v>
      </c>
      <c r="E149" s="416">
        <f t="shared" ref="E149:N149" si="49">_xlfn.NORM.DIST(E53,AVERAGE($E53:$N53),IF(_xlfn.STDEV.P($E53:$N53)=0,1,_xlfn.STDEV.P($E53:$N53))*$Z52,TRUE)</f>
        <v>0.5</v>
      </c>
      <c r="F149" s="416">
        <f t="shared" si="49"/>
        <v>0.5</v>
      </c>
      <c r="G149" s="416">
        <f t="shared" si="49"/>
        <v>0.5</v>
      </c>
      <c r="H149" s="416">
        <f t="shared" si="49"/>
        <v>0.5</v>
      </c>
      <c r="I149" s="416">
        <f t="shared" si="49"/>
        <v>0.5</v>
      </c>
      <c r="J149" s="416">
        <f t="shared" si="49"/>
        <v>0.5</v>
      </c>
      <c r="K149" s="416">
        <f t="shared" si="49"/>
        <v>0.5</v>
      </c>
      <c r="L149" s="416">
        <f t="shared" si="49"/>
        <v>0.5</v>
      </c>
      <c r="M149" s="416">
        <f t="shared" si="49"/>
        <v>0.5</v>
      </c>
      <c r="N149" s="416">
        <f t="shared" si="49"/>
        <v>0.5</v>
      </c>
      <c r="P149" s="416">
        <f t="shared" si="45"/>
        <v>0.5</v>
      </c>
    </row>
    <row r="150" spans="3:16" s="147" customFormat="1">
      <c r="C150" s="155" t="str">
        <f>C$56</f>
        <v xml:space="preserve">Driver 6 </v>
      </c>
      <c r="E150" s="416">
        <f t="shared" ref="E150:N150" si="50">_xlfn.NORM.DIST(E58,AVERAGE($E58:$N58),IF(_xlfn.STDEV.P($E58:$N58)=0,1,_xlfn.STDEV.P($E58:$N58))*$Z57,TRUE)</f>
        <v>0.5</v>
      </c>
      <c r="F150" s="416">
        <f t="shared" si="50"/>
        <v>0.5</v>
      </c>
      <c r="G150" s="416">
        <f t="shared" si="50"/>
        <v>0.5</v>
      </c>
      <c r="H150" s="416">
        <f t="shared" si="50"/>
        <v>0.5</v>
      </c>
      <c r="I150" s="416">
        <f t="shared" si="50"/>
        <v>0.5</v>
      </c>
      <c r="J150" s="416">
        <f t="shared" si="50"/>
        <v>0.5</v>
      </c>
      <c r="K150" s="416">
        <f t="shared" si="50"/>
        <v>0.5</v>
      </c>
      <c r="L150" s="416">
        <f t="shared" si="50"/>
        <v>0.5</v>
      </c>
      <c r="M150" s="416">
        <f t="shared" si="50"/>
        <v>0.5</v>
      </c>
      <c r="N150" s="416">
        <f t="shared" si="50"/>
        <v>0.5</v>
      </c>
      <c r="P150" s="416">
        <f t="shared" si="45"/>
        <v>0.5</v>
      </c>
    </row>
    <row r="151" spans="3:16" s="147" customFormat="1">
      <c r="C151" s="155" t="str">
        <f>C$61</f>
        <v xml:space="preserve">Driver 7 </v>
      </c>
      <c r="E151" s="416">
        <f t="shared" ref="E151:N151" si="51">_xlfn.NORM.DIST(E63,AVERAGE($E63:$N63),IF(_xlfn.STDEV.P($E63:$N63)=0,1,_xlfn.STDEV.P($E63:$N63))*$Z62,TRUE)</f>
        <v>0.5</v>
      </c>
      <c r="F151" s="416">
        <f t="shared" si="51"/>
        <v>0.5</v>
      </c>
      <c r="G151" s="416">
        <f t="shared" si="51"/>
        <v>0.5</v>
      </c>
      <c r="H151" s="416">
        <f t="shared" si="51"/>
        <v>0.5</v>
      </c>
      <c r="I151" s="416">
        <f t="shared" si="51"/>
        <v>0.5</v>
      </c>
      <c r="J151" s="416">
        <f t="shared" si="51"/>
        <v>0.5</v>
      </c>
      <c r="K151" s="416">
        <f t="shared" si="51"/>
        <v>0.5</v>
      </c>
      <c r="L151" s="416">
        <f t="shared" si="51"/>
        <v>0.5</v>
      </c>
      <c r="M151" s="416">
        <f t="shared" si="51"/>
        <v>0.5</v>
      </c>
      <c r="N151" s="416">
        <f t="shared" si="51"/>
        <v>0.5</v>
      </c>
      <c r="P151" s="416">
        <f t="shared" si="45"/>
        <v>0.5</v>
      </c>
    </row>
    <row r="152" spans="3:16" s="147" customFormat="1">
      <c r="C152" s="155" t="str">
        <f>C$66</f>
        <v xml:space="preserve">Driver 8 </v>
      </c>
      <c r="E152" s="416">
        <f t="shared" ref="E152:N152" si="52">_xlfn.NORM.DIST(E68,AVERAGE($E68:$N68),IF(_xlfn.STDEV.P($E68:$N68)=0,1,_xlfn.STDEV.P($E68:$N68))*$Z67,TRUE)</f>
        <v>0.5</v>
      </c>
      <c r="F152" s="416">
        <f t="shared" si="52"/>
        <v>0.5</v>
      </c>
      <c r="G152" s="416">
        <f t="shared" si="52"/>
        <v>0.5</v>
      </c>
      <c r="H152" s="416">
        <f t="shared" si="52"/>
        <v>0.5</v>
      </c>
      <c r="I152" s="416">
        <f t="shared" si="52"/>
        <v>0.5</v>
      </c>
      <c r="J152" s="416">
        <f t="shared" si="52"/>
        <v>0.5</v>
      </c>
      <c r="K152" s="416">
        <f t="shared" si="52"/>
        <v>0.5</v>
      </c>
      <c r="L152" s="416">
        <f t="shared" si="52"/>
        <v>0.5</v>
      </c>
      <c r="M152" s="416">
        <f t="shared" si="52"/>
        <v>0.5</v>
      </c>
      <c r="N152" s="416">
        <f t="shared" si="52"/>
        <v>0.5</v>
      </c>
      <c r="P152" s="416">
        <f t="shared" si="45"/>
        <v>0.5</v>
      </c>
    </row>
    <row r="153" spans="3:16" s="147" customFormat="1">
      <c r="C153" s="155" t="str">
        <f>C$71</f>
        <v xml:space="preserve">Driver 9 </v>
      </c>
      <c r="E153" s="416">
        <f t="shared" ref="E153:N153" si="53">_xlfn.NORM.DIST(E73,AVERAGE($E73:$N73),IF(_xlfn.STDEV.P($E73:$N73)=0,1,_xlfn.STDEV.P($E73:$N73))*$Z72,TRUE)</f>
        <v>0.5</v>
      </c>
      <c r="F153" s="416">
        <f t="shared" si="53"/>
        <v>0.5</v>
      </c>
      <c r="G153" s="416">
        <f t="shared" si="53"/>
        <v>0.5</v>
      </c>
      <c r="H153" s="416">
        <f t="shared" si="53"/>
        <v>0.5</v>
      </c>
      <c r="I153" s="416">
        <f t="shared" si="53"/>
        <v>0.5</v>
      </c>
      <c r="J153" s="416">
        <f t="shared" si="53"/>
        <v>0.5</v>
      </c>
      <c r="K153" s="416">
        <f t="shared" si="53"/>
        <v>0.5</v>
      </c>
      <c r="L153" s="416">
        <f t="shared" si="53"/>
        <v>0.5</v>
      </c>
      <c r="M153" s="416">
        <f t="shared" si="53"/>
        <v>0.5</v>
      </c>
      <c r="N153" s="416">
        <f t="shared" si="53"/>
        <v>0.5</v>
      </c>
      <c r="P153" s="416">
        <f t="shared" si="45"/>
        <v>0.5</v>
      </c>
    </row>
    <row r="154" spans="3:16" s="147" customFormat="1">
      <c r="C154" s="155" t="str">
        <f>C$76</f>
        <v xml:space="preserve">Driver 10 </v>
      </c>
      <c r="E154" s="416">
        <f t="shared" ref="E154:N154" si="54">_xlfn.NORM.DIST(E78,AVERAGE($E78:$N78),IF(_xlfn.STDEV.P($E78:$N78)=0,1,_xlfn.STDEV.P($E78:$N78))*$Z77,TRUE)</f>
        <v>0.5</v>
      </c>
      <c r="F154" s="416">
        <f t="shared" si="54"/>
        <v>0.5</v>
      </c>
      <c r="G154" s="416">
        <f t="shared" si="54"/>
        <v>0.5</v>
      </c>
      <c r="H154" s="416">
        <f t="shared" si="54"/>
        <v>0.5</v>
      </c>
      <c r="I154" s="416">
        <f t="shared" si="54"/>
        <v>0.5</v>
      </c>
      <c r="J154" s="416">
        <f t="shared" si="54"/>
        <v>0.5</v>
      </c>
      <c r="K154" s="416">
        <f t="shared" si="54"/>
        <v>0.5</v>
      </c>
      <c r="L154" s="416">
        <f t="shared" si="54"/>
        <v>0.5</v>
      </c>
      <c r="M154" s="416">
        <f t="shared" si="54"/>
        <v>0.5</v>
      </c>
      <c r="N154" s="416">
        <f t="shared" si="54"/>
        <v>0.5</v>
      </c>
      <c r="P154" s="416">
        <f t="shared" si="45"/>
        <v>0.5</v>
      </c>
    </row>
    <row r="156" spans="3:16" s="147" customFormat="1">
      <c r="C156" s="155" t="str">
        <f>C$31</f>
        <v>Execution</v>
      </c>
      <c r="E156" s="416">
        <f t="shared" ref="E156:N156" si="55">IF($D$20=1,0,(E145-$P145)*$P33*$Y32)</f>
        <v>0</v>
      </c>
      <c r="F156" s="416">
        <f t="shared" si="55"/>
        <v>0</v>
      </c>
      <c r="G156" s="416">
        <f t="shared" si="55"/>
        <v>0</v>
      </c>
      <c r="H156" s="416">
        <f t="shared" si="55"/>
        <v>0</v>
      </c>
      <c r="I156" s="416">
        <f t="shared" si="55"/>
        <v>0</v>
      </c>
      <c r="J156" s="416">
        <f t="shared" si="55"/>
        <v>0</v>
      </c>
      <c r="K156" s="416">
        <f t="shared" si="55"/>
        <v>0</v>
      </c>
      <c r="L156" s="416">
        <f t="shared" si="55"/>
        <v>0</v>
      </c>
      <c r="M156" s="416">
        <f t="shared" si="55"/>
        <v>0</v>
      </c>
      <c r="N156" s="416">
        <f t="shared" si="55"/>
        <v>0</v>
      </c>
    </row>
    <row r="157" spans="3:16" s="147" customFormat="1">
      <c r="C157" s="155" t="str">
        <f>C$36</f>
        <v>Talent Development</v>
      </c>
      <c r="E157" s="416">
        <f t="shared" ref="E157:N157" si="56">IF($D$20=1,0,(E146-$P146)*$P38*$Y37)</f>
        <v>0</v>
      </c>
      <c r="F157" s="416">
        <f t="shared" si="56"/>
        <v>0</v>
      </c>
      <c r="G157" s="416">
        <f t="shared" si="56"/>
        <v>0</v>
      </c>
      <c r="H157" s="416">
        <f t="shared" si="56"/>
        <v>0</v>
      </c>
      <c r="I157" s="416">
        <f t="shared" si="56"/>
        <v>0</v>
      </c>
      <c r="J157" s="416">
        <f t="shared" si="56"/>
        <v>0</v>
      </c>
      <c r="K157" s="416">
        <f t="shared" si="56"/>
        <v>0</v>
      </c>
      <c r="L157" s="416">
        <f t="shared" si="56"/>
        <v>0</v>
      </c>
      <c r="M157" s="416">
        <f t="shared" si="56"/>
        <v>0</v>
      </c>
      <c r="N157" s="416">
        <f t="shared" si="56"/>
        <v>0</v>
      </c>
      <c r="P157" s="422"/>
    </row>
    <row r="158" spans="3:16" s="147" customFormat="1">
      <c r="C158" s="155" t="str">
        <f>C$41</f>
        <v>Culture</v>
      </c>
      <c r="E158" s="416">
        <f t="shared" ref="E158:N158" si="57">IF($D$20=1,0,(E147-$P147)*$P43*$Y42)</f>
        <v>0</v>
      </c>
      <c r="F158" s="416">
        <f t="shared" si="57"/>
        <v>0</v>
      </c>
      <c r="G158" s="416">
        <f t="shared" si="57"/>
        <v>0</v>
      </c>
      <c r="H158" s="416">
        <f t="shared" si="57"/>
        <v>0</v>
      </c>
      <c r="I158" s="416">
        <f t="shared" si="57"/>
        <v>0</v>
      </c>
      <c r="J158" s="416">
        <f t="shared" si="57"/>
        <v>0</v>
      </c>
      <c r="K158" s="416">
        <f t="shared" si="57"/>
        <v>0</v>
      </c>
      <c r="L158" s="416">
        <f t="shared" si="57"/>
        <v>0</v>
      </c>
      <c r="M158" s="416">
        <f t="shared" si="57"/>
        <v>0</v>
      </c>
      <c r="N158" s="416">
        <f t="shared" si="57"/>
        <v>0</v>
      </c>
    </row>
    <row r="159" spans="3:16" s="147" customFormat="1">
      <c r="C159" s="155" t="str">
        <f>C$46</f>
        <v xml:space="preserve">Driver 4 </v>
      </c>
      <c r="E159" s="416">
        <f t="shared" ref="E159:N159" si="58">IF($D$20=1,0,(E148-$P148)*$P48*$Y47)</f>
        <v>0</v>
      </c>
      <c r="F159" s="416">
        <f t="shared" si="58"/>
        <v>0</v>
      </c>
      <c r="G159" s="416">
        <f t="shared" si="58"/>
        <v>0</v>
      </c>
      <c r="H159" s="416">
        <f t="shared" si="58"/>
        <v>0</v>
      </c>
      <c r="I159" s="416">
        <f t="shared" si="58"/>
        <v>0</v>
      </c>
      <c r="J159" s="416">
        <f t="shared" si="58"/>
        <v>0</v>
      </c>
      <c r="K159" s="416">
        <f t="shared" si="58"/>
        <v>0</v>
      </c>
      <c r="L159" s="416">
        <f t="shared" si="58"/>
        <v>0</v>
      </c>
      <c r="M159" s="416">
        <f t="shared" si="58"/>
        <v>0</v>
      </c>
      <c r="N159" s="416">
        <f t="shared" si="58"/>
        <v>0</v>
      </c>
    </row>
    <row r="160" spans="3:16" s="147" customFormat="1">
      <c r="C160" s="155" t="str">
        <f>C$51</f>
        <v xml:space="preserve">Driver 5 </v>
      </c>
      <c r="E160" s="416">
        <f t="shared" ref="E160:N160" si="59">IF($D$20=1,0,(E149-$P149)*$P53*$Y52)</f>
        <v>0</v>
      </c>
      <c r="F160" s="416">
        <f t="shared" si="59"/>
        <v>0</v>
      </c>
      <c r="G160" s="416">
        <f t="shared" si="59"/>
        <v>0</v>
      </c>
      <c r="H160" s="416">
        <f t="shared" si="59"/>
        <v>0</v>
      </c>
      <c r="I160" s="416">
        <f t="shared" si="59"/>
        <v>0</v>
      </c>
      <c r="J160" s="416">
        <f t="shared" si="59"/>
        <v>0</v>
      </c>
      <c r="K160" s="416">
        <f t="shared" si="59"/>
        <v>0</v>
      </c>
      <c r="L160" s="416">
        <f t="shared" si="59"/>
        <v>0</v>
      </c>
      <c r="M160" s="416">
        <f t="shared" si="59"/>
        <v>0</v>
      </c>
      <c r="N160" s="416">
        <f t="shared" si="59"/>
        <v>0</v>
      </c>
    </row>
    <row r="161" spans="1:16" s="147" customFormat="1">
      <c r="C161" s="155" t="str">
        <f>C$56</f>
        <v xml:space="preserve">Driver 6 </v>
      </c>
      <c r="E161" s="416">
        <f t="shared" ref="E161:N161" si="60">IF($D$20=1,0,(E150-$P150)*$P58*$Y57)</f>
        <v>0</v>
      </c>
      <c r="F161" s="416">
        <f t="shared" si="60"/>
        <v>0</v>
      </c>
      <c r="G161" s="416">
        <f t="shared" si="60"/>
        <v>0</v>
      </c>
      <c r="H161" s="416">
        <f t="shared" si="60"/>
        <v>0</v>
      </c>
      <c r="I161" s="416">
        <f t="shared" si="60"/>
        <v>0</v>
      </c>
      <c r="J161" s="416">
        <f t="shared" si="60"/>
        <v>0</v>
      </c>
      <c r="K161" s="416">
        <f t="shared" si="60"/>
        <v>0</v>
      </c>
      <c r="L161" s="416">
        <f t="shared" si="60"/>
        <v>0</v>
      </c>
      <c r="M161" s="416">
        <f t="shared" si="60"/>
        <v>0</v>
      </c>
      <c r="N161" s="416">
        <f t="shared" si="60"/>
        <v>0</v>
      </c>
    </row>
    <row r="162" spans="1:16" s="147" customFormat="1">
      <c r="C162" s="155" t="str">
        <f>C$61</f>
        <v xml:space="preserve">Driver 7 </v>
      </c>
      <c r="E162" s="416">
        <f t="shared" ref="E162:N162" si="61">IF($D$20=1,0,(E151-$P151)*$P63*$Y62)</f>
        <v>0</v>
      </c>
      <c r="F162" s="416">
        <f t="shared" si="61"/>
        <v>0</v>
      </c>
      <c r="G162" s="416">
        <f t="shared" si="61"/>
        <v>0</v>
      </c>
      <c r="H162" s="416">
        <f t="shared" si="61"/>
        <v>0</v>
      </c>
      <c r="I162" s="416">
        <f t="shared" si="61"/>
        <v>0</v>
      </c>
      <c r="J162" s="416">
        <f t="shared" si="61"/>
        <v>0</v>
      </c>
      <c r="K162" s="416">
        <f t="shared" si="61"/>
        <v>0</v>
      </c>
      <c r="L162" s="416">
        <f t="shared" si="61"/>
        <v>0</v>
      </c>
      <c r="M162" s="416">
        <f t="shared" si="61"/>
        <v>0</v>
      </c>
      <c r="N162" s="416">
        <f t="shared" si="61"/>
        <v>0</v>
      </c>
    </row>
    <row r="163" spans="1:16" s="147" customFormat="1">
      <c r="C163" s="155" t="str">
        <f>C$66</f>
        <v xml:space="preserve">Driver 8 </v>
      </c>
      <c r="E163" s="416">
        <f t="shared" ref="E163:N163" si="62">IF($D$20=1,0,(E152-$P152)*$P68*$Y67)</f>
        <v>0</v>
      </c>
      <c r="F163" s="416">
        <f t="shared" si="62"/>
        <v>0</v>
      </c>
      <c r="G163" s="416">
        <f t="shared" si="62"/>
        <v>0</v>
      </c>
      <c r="H163" s="416">
        <f t="shared" si="62"/>
        <v>0</v>
      </c>
      <c r="I163" s="416">
        <f t="shared" si="62"/>
        <v>0</v>
      </c>
      <c r="J163" s="416">
        <f t="shared" si="62"/>
        <v>0</v>
      </c>
      <c r="K163" s="416">
        <f t="shared" si="62"/>
        <v>0</v>
      </c>
      <c r="L163" s="416">
        <f t="shared" si="62"/>
        <v>0</v>
      </c>
      <c r="M163" s="416">
        <f t="shared" si="62"/>
        <v>0</v>
      </c>
      <c r="N163" s="416">
        <f t="shared" si="62"/>
        <v>0</v>
      </c>
    </row>
    <row r="164" spans="1:16" s="147" customFormat="1">
      <c r="C164" s="155" t="str">
        <f>C$71</f>
        <v xml:space="preserve">Driver 9 </v>
      </c>
      <c r="E164" s="416">
        <f t="shared" ref="E164:N164" si="63">IF($D$20=1,0,(E153-$P153)*$P73*$Y72)</f>
        <v>0</v>
      </c>
      <c r="F164" s="416">
        <f t="shared" si="63"/>
        <v>0</v>
      </c>
      <c r="G164" s="416">
        <f t="shared" si="63"/>
        <v>0</v>
      </c>
      <c r="H164" s="416">
        <f t="shared" si="63"/>
        <v>0</v>
      </c>
      <c r="I164" s="416">
        <f t="shared" si="63"/>
        <v>0</v>
      </c>
      <c r="J164" s="416">
        <f t="shared" si="63"/>
        <v>0</v>
      </c>
      <c r="K164" s="416">
        <f t="shared" si="63"/>
        <v>0</v>
      </c>
      <c r="L164" s="416">
        <f t="shared" si="63"/>
        <v>0</v>
      </c>
      <c r="M164" s="416">
        <f t="shared" si="63"/>
        <v>0</v>
      </c>
      <c r="N164" s="416">
        <f t="shared" si="63"/>
        <v>0</v>
      </c>
    </row>
    <row r="165" spans="1:16" s="147" customFormat="1">
      <c r="C165" s="155" t="str">
        <f>C$76</f>
        <v xml:space="preserve">Driver 10 </v>
      </c>
      <c r="E165" s="416">
        <f t="shared" ref="E165:N165" si="64">IF($D$20=1,0,(E154-$P154)*$P78*$Y77)</f>
        <v>0</v>
      </c>
      <c r="F165" s="416">
        <f t="shared" si="64"/>
        <v>0</v>
      </c>
      <c r="G165" s="416">
        <f t="shared" si="64"/>
        <v>0</v>
      </c>
      <c r="H165" s="416">
        <f t="shared" si="64"/>
        <v>0</v>
      </c>
      <c r="I165" s="416">
        <f t="shared" si="64"/>
        <v>0</v>
      </c>
      <c r="J165" s="416">
        <f t="shared" si="64"/>
        <v>0</v>
      </c>
      <c r="K165" s="416">
        <f t="shared" si="64"/>
        <v>0</v>
      </c>
      <c r="L165" s="416">
        <f t="shared" si="64"/>
        <v>0</v>
      </c>
      <c r="M165" s="416">
        <f t="shared" si="64"/>
        <v>0</v>
      </c>
      <c r="N165" s="416">
        <f t="shared" si="64"/>
        <v>0</v>
      </c>
    </row>
    <row r="166" spans="1:16" s="147" customFormat="1">
      <c r="P166" s="154"/>
    </row>
    <row r="167" spans="1:16" s="149" customFormat="1">
      <c r="A167" s="148"/>
      <c r="C167" s="149" t="s">
        <v>932</v>
      </c>
      <c r="E167" s="150"/>
      <c r="F167" s="150"/>
      <c r="G167" s="150"/>
      <c r="H167" s="150"/>
      <c r="I167" s="150"/>
      <c r="J167" s="150"/>
      <c r="K167" s="150"/>
      <c r="L167" s="150"/>
      <c r="M167" s="150"/>
      <c r="N167" s="150"/>
    </row>
    <row r="169" spans="1:16" s="147" customFormat="1">
      <c r="C169" s="155" t="str">
        <f>C$31&amp;" - Increase"</f>
        <v>Execution - Increase</v>
      </c>
      <c r="D169" s="421"/>
      <c r="E169" s="416">
        <f t="shared" ref="E169:N169" si="65">IF($D$20=1,0,IF(E33&gt;E31,_xlfn.NORM.DIST(E33,AVERAGE($E33:$N33),IF(_xlfn.STDEV.P($E33:$N33)=0,1,_xlfn.STDEV.P($E33:$N33))*$AE32,TRUE)*$AD32,0))*($P33)</f>
        <v>0</v>
      </c>
      <c r="F169" s="416">
        <f t="shared" si="65"/>
        <v>0</v>
      </c>
      <c r="G169" s="416">
        <f t="shared" si="65"/>
        <v>0</v>
      </c>
      <c r="H169" s="416">
        <f t="shared" si="65"/>
        <v>0</v>
      </c>
      <c r="I169" s="416">
        <f t="shared" si="65"/>
        <v>0</v>
      </c>
      <c r="J169" s="416">
        <f t="shared" si="65"/>
        <v>0</v>
      </c>
      <c r="K169" s="416">
        <f t="shared" si="65"/>
        <v>0</v>
      </c>
      <c r="L169" s="416">
        <f t="shared" si="65"/>
        <v>0</v>
      </c>
      <c r="M169" s="416">
        <f t="shared" si="65"/>
        <v>0</v>
      </c>
      <c r="N169" s="416">
        <f t="shared" si="65"/>
        <v>0</v>
      </c>
    </row>
    <row r="170" spans="1:16" s="147" customFormat="1">
      <c r="C170" s="419" t="str">
        <f>C$31&amp;" - Decrease"</f>
        <v>Execution - Decrease</v>
      </c>
      <c r="D170" s="420"/>
      <c r="E170" s="417">
        <f t="shared" ref="E170:N170" si="66">IF($D$20=1,0,IF(E31&gt;E33,1/_xlfn.NORM.DIST(E33,AVERAGE($E33:$N33),IF(_xlfn.STDEV.P($E33:$N33)=0,1,_xlfn.STDEV.P($E33:$N33))*$AE33,TRUE)*$AD33,0))*($P33)</f>
        <v>0</v>
      </c>
      <c r="F170" s="417">
        <f t="shared" si="66"/>
        <v>0</v>
      </c>
      <c r="G170" s="417">
        <f t="shared" si="66"/>
        <v>0</v>
      </c>
      <c r="H170" s="417">
        <f t="shared" si="66"/>
        <v>0</v>
      </c>
      <c r="I170" s="417">
        <f t="shared" si="66"/>
        <v>0</v>
      </c>
      <c r="J170" s="417">
        <f t="shared" si="66"/>
        <v>0</v>
      </c>
      <c r="K170" s="417">
        <f t="shared" si="66"/>
        <v>0</v>
      </c>
      <c r="L170" s="417">
        <f t="shared" si="66"/>
        <v>0</v>
      </c>
      <c r="M170" s="417">
        <f t="shared" si="66"/>
        <v>0</v>
      </c>
      <c r="N170" s="417">
        <f t="shared" si="66"/>
        <v>0</v>
      </c>
    </row>
    <row r="171" spans="1:16" s="147" customFormat="1">
      <c r="C171" s="155" t="str">
        <f>C$36&amp;" - Increase"</f>
        <v>Talent Development - Increase</v>
      </c>
      <c r="E171" s="416">
        <f t="shared" ref="E171:N171" si="67">IF($D$20=1,0,IF(E38&gt;E36,_xlfn.NORM.DIST(E38,AVERAGE($E38:$N38),IF(_xlfn.STDEV.P($E38:$N38)=0,1,_xlfn.STDEV.P($E38:$N38))*$AE37,TRUE)*$AD37,0))*($P$38)</f>
        <v>0</v>
      </c>
      <c r="F171" s="416">
        <f t="shared" si="67"/>
        <v>0</v>
      </c>
      <c r="G171" s="416">
        <f t="shared" si="67"/>
        <v>0</v>
      </c>
      <c r="H171" s="416">
        <f t="shared" si="67"/>
        <v>0</v>
      </c>
      <c r="I171" s="416">
        <f t="shared" si="67"/>
        <v>0</v>
      </c>
      <c r="J171" s="416">
        <f t="shared" si="67"/>
        <v>0</v>
      </c>
      <c r="K171" s="416">
        <f t="shared" si="67"/>
        <v>0</v>
      </c>
      <c r="L171" s="416">
        <f t="shared" si="67"/>
        <v>0</v>
      </c>
      <c r="M171" s="416">
        <f t="shared" si="67"/>
        <v>0</v>
      </c>
      <c r="N171" s="416">
        <f t="shared" si="67"/>
        <v>0</v>
      </c>
    </row>
    <row r="172" spans="1:16" s="147" customFormat="1">
      <c r="C172" s="419" t="str">
        <f>C$36&amp;" - Decrease"</f>
        <v>Talent Development - Decrease</v>
      </c>
      <c r="D172" s="418"/>
      <c r="E172" s="417">
        <f t="shared" ref="E172:N172" si="68">IF($D$20=1,0,IF(E36&gt;E38,1/_xlfn.NORM.DIST(E38,AVERAGE($E38:$N38),IF(_xlfn.STDEV.P($E38:$N38)=0,1,_xlfn.STDEV.P($E38:$N38))*$AE38,TRUE)*$AD38,0))*($P$38)</f>
        <v>0</v>
      </c>
      <c r="F172" s="417">
        <f t="shared" si="68"/>
        <v>0</v>
      </c>
      <c r="G172" s="417">
        <f t="shared" si="68"/>
        <v>0</v>
      </c>
      <c r="H172" s="417">
        <f t="shared" si="68"/>
        <v>0</v>
      </c>
      <c r="I172" s="417">
        <f t="shared" si="68"/>
        <v>0</v>
      </c>
      <c r="J172" s="417">
        <f t="shared" si="68"/>
        <v>0</v>
      </c>
      <c r="K172" s="417">
        <f t="shared" si="68"/>
        <v>0</v>
      </c>
      <c r="L172" s="417">
        <f t="shared" si="68"/>
        <v>0</v>
      </c>
      <c r="M172" s="417">
        <f t="shared" si="68"/>
        <v>0</v>
      </c>
      <c r="N172" s="417">
        <f t="shared" si="68"/>
        <v>0</v>
      </c>
    </row>
    <row r="173" spans="1:16" s="147" customFormat="1">
      <c r="C173" s="155" t="str">
        <f>C$41&amp;" - Increase"</f>
        <v>Culture - Increase</v>
      </c>
      <c r="E173" s="416">
        <f t="shared" ref="E173:N173" si="69">IF($D$20=1,0,IF(E43&gt;E41,_xlfn.NORM.DIST(E43,AVERAGE($E43:$N43),IF(_xlfn.STDEV.P($E43:$N43)=0,1,_xlfn.STDEV.P($E43:$N43))*$AE42,TRUE)*$AD42,0))*($P43)</f>
        <v>0</v>
      </c>
      <c r="F173" s="416">
        <f t="shared" si="69"/>
        <v>0</v>
      </c>
      <c r="G173" s="416">
        <f t="shared" si="69"/>
        <v>0</v>
      </c>
      <c r="H173" s="416">
        <f t="shared" si="69"/>
        <v>0</v>
      </c>
      <c r="I173" s="416">
        <f t="shared" si="69"/>
        <v>0</v>
      </c>
      <c r="J173" s="416">
        <f t="shared" si="69"/>
        <v>0</v>
      </c>
      <c r="K173" s="416">
        <f t="shared" si="69"/>
        <v>0</v>
      </c>
      <c r="L173" s="416">
        <f t="shared" si="69"/>
        <v>0</v>
      </c>
      <c r="M173" s="416">
        <f t="shared" si="69"/>
        <v>0</v>
      </c>
      <c r="N173" s="416">
        <f t="shared" si="69"/>
        <v>0</v>
      </c>
    </row>
    <row r="174" spans="1:16" s="147" customFormat="1">
      <c r="C174" s="419" t="str">
        <f>C$41&amp;" - Decrease"</f>
        <v>Culture - Decrease</v>
      </c>
      <c r="D174" s="418"/>
      <c r="E174" s="417">
        <f t="shared" ref="E174:N174" si="70">IF($D$20=1,0,IF(E41&gt;E43,1/_xlfn.NORM.DIST(E43,AVERAGE($E43:$N43),IF(_xlfn.STDEV.P($E43:$N43)=0,1,_xlfn.STDEV.P($E43:$N43))*$AE43,TRUE)*$AD43,0))*($P43)</f>
        <v>0</v>
      </c>
      <c r="F174" s="417">
        <f t="shared" si="70"/>
        <v>0</v>
      </c>
      <c r="G174" s="417">
        <f t="shared" si="70"/>
        <v>0</v>
      </c>
      <c r="H174" s="417">
        <f t="shared" si="70"/>
        <v>0</v>
      </c>
      <c r="I174" s="417">
        <f t="shared" si="70"/>
        <v>0</v>
      </c>
      <c r="J174" s="417">
        <f t="shared" si="70"/>
        <v>0</v>
      </c>
      <c r="K174" s="417">
        <f t="shared" si="70"/>
        <v>0</v>
      </c>
      <c r="L174" s="417">
        <f t="shared" si="70"/>
        <v>0</v>
      </c>
      <c r="M174" s="417">
        <f t="shared" si="70"/>
        <v>0</v>
      </c>
      <c r="N174" s="417">
        <f t="shared" si="70"/>
        <v>0</v>
      </c>
    </row>
    <row r="175" spans="1:16" s="147" customFormat="1">
      <c r="C175" s="155" t="str">
        <f>C$46&amp;" - Increase"</f>
        <v>Driver 4  - Increase</v>
      </c>
      <c r="E175" s="416">
        <f t="shared" ref="E175:N175" si="71">IF($D$20=1,0,IF(E48&gt;E46,_xlfn.NORM.DIST(E48,AVERAGE($E48:$N48),IF(_xlfn.STDEV.P($E48:$N48)=0,1,_xlfn.STDEV.P($E48:$N48))*$AE47,TRUE)*$AD47,0))*($P48)</f>
        <v>0</v>
      </c>
      <c r="F175" s="416">
        <f t="shared" si="71"/>
        <v>0</v>
      </c>
      <c r="G175" s="416">
        <f t="shared" si="71"/>
        <v>0</v>
      </c>
      <c r="H175" s="416">
        <f t="shared" si="71"/>
        <v>0</v>
      </c>
      <c r="I175" s="416">
        <f t="shared" si="71"/>
        <v>0</v>
      </c>
      <c r="J175" s="416">
        <f t="shared" si="71"/>
        <v>0</v>
      </c>
      <c r="K175" s="416">
        <f t="shared" si="71"/>
        <v>0</v>
      </c>
      <c r="L175" s="416">
        <f t="shared" si="71"/>
        <v>0</v>
      </c>
      <c r="M175" s="416">
        <f t="shared" si="71"/>
        <v>0</v>
      </c>
      <c r="N175" s="416">
        <f t="shared" si="71"/>
        <v>0</v>
      </c>
    </row>
    <row r="176" spans="1:16" s="147" customFormat="1">
      <c r="C176" s="419" t="str">
        <f>C$46&amp;" - Decrease"</f>
        <v>Driver 4  - Decrease</v>
      </c>
      <c r="D176" s="418"/>
      <c r="E176" s="417">
        <f t="shared" ref="E176:N176" si="72">IF($D$20=1,0,IF(E46&gt;E48,1/_xlfn.NORM.DIST(E48,AVERAGE($E48:$N48),IF(_xlfn.STDEV.P($E48:$N48)=0,1,_xlfn.STDEV.P($E48:$N48))*$AE48,TRUE)*$AD48,0))*($P48)</f>
        <v>0</v>
      </c>
      <c r="F176" s="417">
        <f t="shared" si="72"/>
        <v>0</v>
      </c>
      <c r="G176" s="417">
        <f t="shared" si="72"/>
        <v>0</v>
      </c>
      <c r="H176" s="417">
        <f t="shared" si="72"/>
        <v>0</v>
      </c>
      <c r="I176" s="417">
        <f t="shared" si="72"/>
        <v>0</v>
      </c>
      <c r="J176" s="417">
        <f t="shared" si="72"/>
        <v>0</v>
      </c>
      <c r="K176" s="417">
        <f t="shared" si="72"/>
        <v>0</v>
      </c>
      <c r="L176" s="417">
        <f t="shared" si="72"/>
        <v>0</v>
      </c>
      <c r="M176" s="417">
        <f t="shared" si="72"/>
        <v>0</v>
      </c>
      <c r="N176" s="417">
        <f t="shared" si="72"/>
        <v>0</v>
      </c>
    </row>
    <row r="177" spans="3:14" s="147" customFormat="1">
      <c r="C177" s="155" t="str">
        <f>C$51&amp;" - Increase"</f>
        <v>Driver 5  - Increase</v>
      </c>
      <c r="E177" s="416">
        <f t="shared" ref="E177:N177" si="73">IF($D$20=1,0,IF(E53&gt;E51,_xlfn.NORM.DIST(E53,AVERAGE($E53:$N53),IF(_xlfn.STDEV.P($E53:$N53)=0,1,_xlfn.STDEV.P($E53:$N53))*$AE52,TRUE)*$AD52,0))*($P53)</f>
        <v>0</v>
      </c>
      <c r="F177" s="416">
        <f t="shared" si="73"/>
        <v>0</v>
      </c>
      <c r="G177" s="416">
        <f t="shared" si="73"/>
        <v>0</v>
      </c>
      <c r="H177" s="416">
        <f t="shared" si="73"/>
        <v>0</v>
      </c>
      <c r="I177" s="416">
        <f t="shared" si="73"/>
        <v>0</v>
      </c>
      <c r="J177" s="416">
        <f t="shared" si="73"/>
        <v>0</v>
      </c>
      <c r="K177" s="416">
        <f t="shared" si="73"/>
        <v>0</v>
      </c>
      <c r="L177" s="416">
        <f t="shared" si="73"/>
        <v>0</v>
      </c>
      <c r="M177" s="416">
        <f t="shared" si="73"/>
        <v>0</v>
      </c>
      <c r="N177" s="416">
        <f t="shared" si="73"/>
        <v>0</v>
      </c>
    </row>
    <row r="178" spans="3:14" s="147" customFormat="1">
      <c r="C178" s="419" t="str">
        <f>C$51&amp;" - Decrease"</f>
        <v>Driver 5  - Decrease</v>
      </c>
      <c r="D178" s="418"/>
      <c r="E178" s="417">
        <f t="shared" ref="E178:N178" si="74">IF($D$20=1,0,IF(E51&gt;E53,1/_xlfn.NORM.DIST(E53,AVERAGE($E53:$N53),IF(_xlfn.STDEV.P($E53:$N53)=0,1,_xlfn.STDEV.P($E53:$N53))*$AE53,TRUE)*$AD53,0))*($P53)</f>
        <v>0</v>
      </c>
      <c r="F178" s="417">
        <f t="shared" si="74"/>
        <v>0</v>
      </c>
      <c r="G178" s="417">
        <f t="shared" si="74"/>
        <v>0</v>
      </c>
      <c r="H178" s="417">
        <f t="shared" si="74"/>
        <v>0</v>
      </c>
      <c r="I178" s="417">
        <f t="shared" si="74"/>
        <v>0</v>
      </c>
      <c r="J178" s="417">
        <f t="shared" si="74"/>
        <v>0</v>
      </c>
      <c r="K178" s="417">
        <f t="shared" si="74"/>
        <v>0</v>
      </c>
      <c r="L178" s="417">
        <f t="shared" si="74"/>
        <v>0</v>
      </c>
      <c r="M178" s="417">
        <f t="shared" si="74"/>
        <v>0</v>
      </c>
      <c r="N178" s="417">
        <f t="shared" si="74"/>
        <v>0</v>
      </c>
    </row>
    <row r="179" spans="3:14" s="147" customFormat="1">
      <c r="C179" s="155" t="str">
        <f>C$56&amp;" - Increase"</f>
        <v>Driver 6  - Increase</v>
      </c>
      <c r="E179" s="416">
        <f t="shared" ref="E179:N179" si="75">IF($D$20=1,0,IF(E58&gt;E56,_xlfn.NORM.DIST(E58,AVERAGE($E58:$N58),IF(_xlfn.STDEV.P($E58:$N58)=0,1,_xlfn.STDEV.P($E58:$N58))*$AE57,TRUE)*$AD57,0))*($P58)</f>
        <v>0</v>
      </c>
      <c r="F179" s="416">
        <f t="shared" si="75"/>
        <v>0</v>
      </c>
      <c r="G179" s="416">
        <f t="shared" si="75"/>
        <v>0</v>
      </c>
      <c r="H179" s="416">
        <f t="shared" si="75"/>
        <v>0</v>
      </c>
      <c r="I179" s="416">
        <f t="shared" si="75"/>
        <v>0</v>
      </c>
      <c r="J179" s="416">
        <f t="shared" si="75"/>
        <v>0</v>
      </c>
      <c r="K179" s="416">
        <f t="shared" si="75"/>
        <v>0</v>
      </c>
      <c r="L179" s="416">
        <f t="shared" si="75"/>
        <v>0</v>
      </c>
      <c r="M179" s="416">
        <f t="shared" si="75"/>
        <v>0</v>
      </c>
      <c r="N179" s="416">
        <f t="shared" si="75"/>
        <v>0</v>
      </c>
    </row>
    <row r="180" spans="3:14" s="147" customFormat="1">
      <c r="C180" s="419" t="str">
        <f>C$56&amp;" - Decrease"</f>
        <v>Driver 6  - Decrease</v>
      </c>
      <c r="D180" s="418"/>
      <c r="E180" s="417">
        <f t="shared" ref="E180:N180" si="76">IF($D$20=1,0,IF(E56&gt;E58,1/_xlfn.NORM.DIST(E58,AVERAGE($E58:$N58),IF(_xlfn.STDEV.P($E58:$N58)=0,1,_xlfn.STDEV.P($E58:$N58))*$AE58,TRUE)*$AD58,0))*($P58)</f>
        <v>0</v>
      </c>
      <c r="F180" s="417">
        <f t="shared" si="76"/>
        <v>0</v>
      </c>
      <c r="G180" s="417">
        <f t="shared" si="76"/>
        <v>0</v>
      </c>
      <c r="H180" s="417">
        <f t="shared" si="76"/>
        <v>0</v>
      </c>
      <c r="I180" s="417">
        <f t="shared" si="76"/>
        <v>0</v>
      </c>
      <c r="J180" s="417">
        <f t="shared" si="76"/>
        <v>0</v>
      </c>
      <c r="K180" s="417">
        <f t="shared" si="76"/>
        <v>0</v>
      </c>
      <c r="L180" s="417">
        <f t="shared" si="76"/>
        <v>0</v>
      </c>
      <c r="M180" s="417">
        <f t="shared" si="76"/>
        <v>0</v>
      </c>
      <c r="N180" s="417">
        <f t="shared" si="76"/>
        <v>0</v>
      </c>
    </row>
    <row r="181" spans="3:14" s="147" customFormat="1">
      <c r="C181" s="155" t="str">
        <f>C$61&amp;" - Increase"</f>
        <v>Driver 7  - Increase</v>
      </c>
      <c r="E181" s="416">
        <f t="shared" ref="E181:N181" si="77">IF($D$20=1,0,IF(E63&gt;E61,_xlfn.NORM.DIST(E63,AVERAGE($E63:$N63),IF(_xlfn.STDEV.P($E63:$N63)=0,1,_xlfn.STDEV.P($E63:$N63))*$AE62,TRUE)*$AD62,0))*($P63)</f>
        <v>0</v>
      </c>
      <c r="F181" s="416">
        <f t="shared" si="77"/>
        <v>0</v>
      </c>
      <c r="G181" s="416">
        <f t="shared" si="77"/>
        <v>0</v>
      </c>
      <c r="H181" s="416">
        <f t="shared" si="77"/>
        <v>0</v>
      </c>
      <c r="I181" s="416">
        <f t="shared" si="77"/>
        <v>0</v>
      </c>
      <c r="J181" s="416">
        <f t="shared" si="77"/>
        <v>0</v>
      </c>
      <c r="K181" s="416">
        <f t="shared" si="77"/>
        <v>0</v>
      </c>
      <c r="L181" s="416">
        <f t="shared" si="77"/>
        <v>0</v>
      </c>
      <c r="M181" s="416">
        <f t="shared" si="77"/>
        <v>0</v>
      </c>
      <c r="N181" s="416">
        <f t="shared" si="77"/>
        <v>0</v>
      </c>
    </row>
    <row r="182" spans="3:14" s="147" customFormat="1">
      <c r="C182" s="419" t="str">
        <f>C$61&amp;" - Decrease"</f>
        <v>Driver 7  - Decrease</v>
      </c>
      <c r="D182" s="418"/>
      <c r="E182" s="417">
        <f t="shared" ref="E182:N182" si="78">IF($D$20=1,0,IF(E61&gt;E63,1/_xlfn.NORM.DIST(E63,AVERAGE($E63:$N63),IF(_xlfn.STDEV.P($E63:$N63)=0,1,_xlfn.STDEV.P($E63:$N63))*$AE63,TRUE)*$AD63,0))*($P63)</f>
        <v>0</v>
      </c>
      <c r="F182" s="417">
        <f t="shared" si="78"/>
        <v>0</v>
      </c>
      <c r="G182" s="417">
        <f t="shared" si="78"/>
        <v>0</v>
      </c>
      <c r="H182" s="417">
        <f t="shared" si="78"/>
        <v>0</v>
      </c>
      <c r="I182" s="417">
        <f t="shared" si="78"/>
        <v>0</v>
      </c>
      <c r="J182" s="417">
        <f t="shared" si="78"/>
        <v>0</v>
      </c>
      <c r="K182" s="417">
        <f t="shared" si="78"/>
        <v>0</v>
      </c>
      <c r="L182" s="417">
        <f t="shared" si="78"/>
        <v>0</v>
      </c>
      <c r="M182" s="417">
        <f t="shared" si="78"/>
        <v>0</v>
      </c>
      <c r="N182" s="417">
        <f t="shared" si="78"/>
        <v>0</v>
      </c>
    </row>
    <row r="183" spans="3:14" s="147" customFormat="1">
      <c r="C183" s="155" t="str">
        <f>C$66&amp;" - Increase"</f>
        <v>Driver 8  - Increase</v>
      </c>
      <c r="E183" s="416">
        <f t="shared" ref="E183:N183" si="79">IF($D$20=1,0,IF(E68&gt;E66,_xlfn.NORM.DIST(E68,AVERAGE($E68:$N68),IF(_xlfn.STDEV.P($E68:$N68)=0,1,_xlfn.STDEV.P($E68:$N68))*$AE67,TRUE)*$AD67,0))*($P68)</f>
        <v>0</v>
      </c>
      <c r="F183" s="416">
        <f t="shared" si="79"/>
        <v>0</v>
      </c>
      <c r="G183" s="416">
        <f t="shared" si="79"/>
        <v>0</v>
      </c>
      <c r="H183" s="416">
        <f t="shared" si="79"/>
        <v>0</v>
      </c>
      <c r="I183" s="416">
        <f t="shared" si="79"/>
        <v>0</v>
      </c>
      <c r="J183" s="416">
        <f t="shared" si="79"/>
        <v>0</v>
      </c>
      <c r="K183" s="416">
        <f t="shared" si="79"/>
        <v>0</v>
      </c>
      <c r="L183" s="416">
        <f t="shared" si="79"/>
        <v>0</v>
      </c>
      <c r="M183" s="416">
        <f t="shared" si="79"/>
        <v>0</v>
      </c>
      <c r="N183" s="416">
        <f t="shared" si="79"/>
        <v>0</v>
      </c>
    </row>
    <row r="184" spans="3:14" s="147" customFormat="1">
      <c r="C184" s="419" t="str">
        <f>C$66&amp;" - Decrease"</f>
        <v>Driver 8  - Decrease</v>
      </c>
      <c r="D184" s="418"/>
      <c r="E184" s="417">
        <f t="shared" ref="E184:N184" si="80">IF($D$20=1,0,IF(E66&gt;E68,1/_xlfn.NORM.DIST(E68,AVERAGE($E68:$N68),IF(_xlfn.STDEV.P($E68:$N68)=0,1,_xlfn.STDEV.P($E68:$N68))*$AE68,TRUE)*$AD68,0))*($P68)</f>
        <v>0</v>
      </c>
      <c r="F184" s="417">
        <f t="shared" si="80"/>
        <v>0</v>
      </c>
      <c r="G184" s="417">
        <f t="shared" si="80"/>
        <v>0</v>
      </c>
      <c r="H184" s="417">
        <f t="shared" si="80"/>
        <v>0</v>
      </c>
      <c r="I184" s="417">
        <f t="shared" si="80"/>
        <v>0</v>
      </c>
      <c r="J184" s="417">
        <f t="shared" si="80"/>
        <v>0</v>
      </c>
      <c r="K184" s="417">
        <f t="shared" si="80"/>
        <v>0</v>
      </c>
      <c r="L184" s="417">
        <f t="shared" si="80"/>
        <v>0</v>
      </c>
      <c r="M184" s="417">
        <f t="shared" si="80"/>
        <v>0</v>
      </c>
      <c r="N184" s="417">
        <f t="shared" si="80"/>
        <v>0</v>
      </c>
    </row>
    <row r="185" spans="3:14" s="147" customFormat="1">
      <c r="C185" s="155" t="str">
        <f>C$71&amp;" - Increase"</f>
        <v>Driver 9  - Increase</v>
      </c>
      <c r="E185" s="416">
        <f t="shared" ref="E185:N185" si="81">IF($D$20=1,0,IF(E73&gt;E71,_xlfn.NORM.DIST(E73,AVERAGE($E73:$N73),IF(_xlfn.STDEV.P($E73:$N73)=0,1,_xlfn.STDEV.P($E73:$N73))*$AE72,TRUE)*$AD72,0))*($P73)</f>
        <v>0</v>
      </c>
      <c r="F185" s="416">
        <f t="shared" si="81"/>
        <v>0</v>
      </c>
      <c r="G185" s="416">
        <f t="shared" si="81"/>
        <v>0</v>
      </c>
      <c r="H185" s="416">
        <f t="shared" si="81"/>
        <v>0</v>
      </c>
      <c r="I185" s="416">
        <f t="shared" si="81"/>
        <v>0</v>
      </c>
      <c r="J185" s="416">
        <f t="shared" si="81"/>
        <v>0</v>
      </c>
      <c r="K185" s="416">
        <f t="shared" si="81"/>
        <v>0</v>
      </c>
      <c r="L185" s="416">
        <f t="shared" si="81"/>
        <v>0</v>
      </c>
      <c r="M185" s="416">
        <f t="shared" si="81"/>
        <v>0</v>
      </c>
      <c r="N185" s="416">
        <f t="shared" si="81"/>
        <v>0</v>
      </c>
    </row>
    <row r="186" spans="3:14" s="147" customFormat="1">
      <c r="C186" s="419" t="str">
        <f>C$71&amp;" - Decrease"</f>
        <v>Driver 9  - Decrease</v>
      </c>
      <c r="D186" s="418"/>
      <c r="E186" s="417">
        <f t="shared" ref="E186:N186" si="82">IF($D$20=1,0,IF(E71&gt;E73,1/_xlfn.NORM.DIST(E73,AVERAGE($E73:$N73),IF(_xlfn.STDEV.P($E73:$N73)=0,1,_xlfn.STDEV.P($E73:$N73))*$AE73,TRUE)*$AD73,0))*($P73)</f>
        <v>0</v>
      </c>
      <c r="F186" s="417">
        <f t="shared" si="82"/>
        <v>0</v>
      </c>
      <c r="G186" s="417">
        <f t="shared" si="82"/>
        <v>0</v>
      </c>
      <c r="H186" s="417">
        <f t="shared" si="82"/>
        <v>0</v>
      </c>
      <c r="I186" s="417">
        <f t="shared" si="82"/>
        <v>0</v>
      </c>
      <c r="J186" s="417">
        <f t="shared" si="82"/>
        <v>0</v>
      </c>
      <c r="K186" s="417">
        <f t="shared" si="82"/>
        <v>0</v>
      </c>
      <c r="L186" s="417">
        <f t="shared" si="82"/>
        <v>0</v>
      </c>
      <c r="M186" s="417">
        <f t="shared" si="82"/>
        <v>0</v>
      </c>
      <c r="N186" s="417">
        <f t="shared" si="82"/>
        <v>0</v>
      </c>
    </row>
    <row r="187" spans="3:14" s="147" customFormat="1">
      <c r="C187" s="155" t="str">
        <f>C$76&amp;" - Increase"</f>
        <v>Driver 10  - Increase</v>
      </c>
      <c r="E187" s="416">
        <f t="shared" ref="E187:N187" si="83">IF($D$20=1,0,IF(E78&gt;E76,_xlfn.NORM.DIST(E78,AVERAGE($E78:$N78),IF(_xlfn.STDEV.P($E78:$N78)=0,1,_xlfn.STDEV.P($E78:$N78))*$AE77,TRUE)*$AD77,0))*($P78)</f>
        <v>0</v>
      </c>
      <c r="F187" s="416">
        <f t="shared" si="83"/>
        <v>0</v>
      </c>
      <c r="G187" s="416">
        <f t="shared" si="83"/>
        <v>0</v>
      </c>
      <c r="H187" s="416">
        <f t="shared" si="83"/>
        <v>0</v>
      </c>
      <c r="I187" s="416">
        <f t="shared" si="83"/>
        <v>0</v>
      </c>
      <c r="J187" s="416">
        <f t="shared" si="83"/>
        <v>0</v>
      </c>
      <c r="K187" s="416">
        <f t="shared" si="83"/>
        <v>0</v>
      </c>
      <c r="L187" s="416">
        <f t="shared" si="83"/>
        <v>0</v>
      </c>
      <c r="M187" s="416">
        <f t="shared" si="83"/>
        <v>0</v>
      </c>
      <c r="N187" s="416">
        <f t="shared" si="83"/>
        <v>0</v>
      </c>
    </row>
    <row r="188" spans="3:14" s="147" customFormat="1">
      <c r="C188" s="155" t="str">
        <f>C$76&amp;" - Decrease"</f>
        <v>Driver 10  - Decrease</v>
      </c>
      <c r="E188" s="416">
        <f t="shared" ref="E188:N188" si="84">IF($D$20=1,0,IF(E76&gt;E78,1/_xlfn.NORM.DIST(E78,AVERAGE($E78:$N78),IF(_xlfn.STDEV.P($E78:$N78)=0,1,_xlfn.STDEV.P($E78:$N78))*$AE78,TRUE)*$AD78,0))*($P78)</f>
        <v>0</v>
      </c>
      <c r="F188" s="416">
        <f t="shared" si="84"/>
        <v>0</v>
      </c>
      <c r="G188" s="416">
        <f t="shared" si="84"/>
        <v>0</v>
      </c>
      <c r="H188" s="416">
        <f t="shared" si="84"/>
        <v>0</v>
      </c>
      <c r="I188" s="416">
        <f t="shared" si="84"/>
        <v>0</v>
      </c>
      <c r="J188" s="416">
        <f t="shared" si="84"/>
        <v>0</v>
      </c>
      <c r="K188" s="416">
        <f t="shared" si="84"/>
        <v>0</v>
      </c>
      <c r="L188" s="416">
        <f t="shared" si="84"/>
        <v>0</v>
      </c>
      <c r="M188" s="416">
        <f t="shared" si="84"/>
        <v>0</v>
      </c>
      <c r="N188" s="416">
        <f t="shared" si="84"/>
        <v>0</v>
      </c>
    </row>
  </sheetData>
  <mergeCells count="2">
    <mergeCell ref="E29:I29"/>
    <mergeCell ref="J29:N29"/>
  </mergeCells>
  <conditionalFormatting sqref="R32:S32 U32:W32 U37:W37 U42:W42 U47:W47 U52:W52 U57:W57 U62:W62 U67:W67 U72:W72 U77:W77">
    <cfRule type="expression" dxfId="208" priority="242">
      <formula>$P31&lt;&gt;"Absolute"</formula>
    </cfRule>
  </conditionalFormatting>
  <conditionalFormatting sqref="R31:S31 U31:W31 U36:W36 U41:W41 U46:W46 U51:W51 U56:W56 U61:W61 U66:W66 U71:W71 U76:W76">
    <cfRule type="expression" dxfId="207" priority="241">
      <formula>$P31&lt;&gt;"Absolute"</formula>
    </cfRule>
  </conditionalFormatting>
  <conditionalFormatting sqref="R37:S37">
    <cfRule type="expression" dxfId="206" priority="240">
      <formula>$P36&lt;&gt;"Absolute"</formula>
    </cfRule>
  </conditionalFormatting>
  <conditionalFormatting sqref="R36:S36">
    <cfRule type="expression" dxfId="205" priority="239">
      <formula>$P36&lt;&gt;"Absolute"</formula>
    </cfRule>
  </conditionalFormatting>
  <conditionalFormatting sqref="R42:S42">
    <cfRule type="expression" dxfId="204" priority="238">
      <formula>$P41&lt;&gt;"Absolute"</formula>
    </cfRule>
  </conditionalFormatting>
  <conditionalFormatting sqref="R41:S41">
    <cfRule type="expression" dxfId="203" priority="237">
      <formula>$P41&lt;&gt;"Absolute"</formula>
    </cfRule>
  </conditionalFormatting>
  <conditionalFormatting sqref="R47:S47">
    <cfRule type="expression" dxfId="202" priority="236">
      <formula>$P46&lt;&gt;"Absolute"</formula>
    </cfRule>
  </conditionalFormatting>
  <conditionalFormatting sqref="R46:S46">
    <cfRule type="expression" dxfId="201" priority="235">
      <formula>$P46&lt;&gt;"Absolute"</formula>
    </cfRule>
  </conditionalFormatting>
  <conditionalFormatting sqref="R52:S52">
    <cfRule type="expression" dxfId="200" priority="234">
      <formula>$P51&lt;&gt;"Absolute"</formula>
    </cfRule>
  </conditionalFormatting>
  <conditionalFormatting sqref="R51:S51">
    <cfRule type="expression" dxfId="199" priority="233">
      <formula>$P51&lt;&gt;"Absolute"</formula>
    </cfRule>
  </conditionalFormatting>
  <conditionalFormatting sqref="R57:S57">
    <cfRule type="expression" dxfId="198" priority="232">
      <formula>$P56&lt;&gt;"Absolute"</formula>
    </cfRule>
  </conditionalFormatting>
  <conditionalFormatting sqref="R56:S56">
    <cfRule type="expression" dxfId="197" priority="231">
      <formula>$P56&lt;&gt;"Absolute"</formula>
    </cfRule>
  </conditionalFormatting>
  <conditionalFormatting sqref="R62:S62">
    <cfRule type="expression" dxfId="196" priority="230">
      <formula>$P61&lt;&gt;"Absolute"</formula>
    </cfRule>
  </conditionalFormatting>
  <conditionalFormatting sqref="R61:S61">
    <cfRule type="expression" dxfId="195" priority="229">
      <formula>$P61&lt;&gt;"Absolute"</formula>
    </cfRule>
  </conditionalFormatting>
  <conditionalFormatting sqref="R67:S67">
    <cfRule type="expression" dxfId="194" priority="228">
      <formula>$P66&lt;&gt;"Absolute"</formula>
    </cfRule>
  </conditionalFormatting>
  <conditionalFormatting sqref="R66:S66">
    <cfRule type="expression" dxfId="193" priority="227">
      <formula>$P66&lt;&gt;"Absolute"</formula>
    </cfRule>
  </conditionalFormatting>
  <conditionalFormatting sqref="R72:S72">
    <cfRule type="expression" dxfId="192" priority="226">
      <formula>$P71&lt;&gt;"Absolute"</formula>
    </cfRule>
  </conditionalFormatting>
  <conditionalFormatting sqref="R71:S71">
    <cfRule type="expression" dxfId="191" priority="225">
      <formula>$P71&lt;&gt;"Absolute"</formula>
    </cfRule>
  </conditionalFormatting>
  <conditionalFormatting sqref="R77:S77">
    <cfRule type="expression" dxfId="190" priority="224">
      <formula>$P76&lt;&gt;"Absolute"</formula>
    </cfRule>
  </conditionalFormatting>
  <conditionalFormatting sqref="R76:S76">
    <cfRule type="expression" dxfId="189" priority="223">
      <formula>$P76&lt;&gt;"Absolute"</formula>
    </cfRule>
  </conditionalFormatting>
  <conditionalFormatting sqref="T32">
    <cfRule type="expression" dxfId="188" priority="222">
      <formula>$P31&lt;&gt;"Absolute"</formula>
    </cfRule>
  </conditionalFormatting>
  <conditionalFormatting sqref="T31">
    <cfRule type="expression" dxfId="187" priority="221">
      <formula>$P31&lt;&gt;"Absolute"</formula>
    </cfRule>
  </conditionalFormatting>
  <conditionalFormatting sqref="T41">
    <cfRule type="expression" dxfId="186" priority="219">
      <formula>$P41&lt;&gt;"Absolute"</formula>
    </cfRule>
  </conditionalFormatting>
  <conditionalFormatting sqref="T46">
    <cfRule type="expression" dxfId="185" priority="218">
      <formula>$P46&lt;&gt;"Absolute"</formula>
    </cfRule>
  </conditionalFormatting>
  <conditionalFormatting sqref="T51">
    <cfRule type="expression" dxfId="184" priority="217">
      <formula>$P51&lt;&gt;"Absolute"</formula>
    </cfRule>
  </conditionalFormatting>
  <conditionalFormatting sqref="T56">
    <cfRule type="expression" dxfId="183" priority="216">
      <formula>$P56&lt;&gt;"Absolute"</formula>
    </cfRule>
  </conditionalFormatting>
  <conditionalFormatting sqref="T61">
    <cfRule type="expression" dxfId="182" priority="215">
      <formula>$P61&lt;&gt;"Absolute"</formula>
    </cfRule>
  </conditionalFormatting>
  <conditionalFormatting sqref="T66">
    <cfRule type="expression" dxfId="181" priority="214">
      <formula>$P66&lt;&gt;"Absolute"</formula>
    </cfRule>
  </conditionalFormatting>
  <conditionalFormatting sqref="T71">
    <cfRule type="expression" dxfId="180" priority="213">
      <formula>$P71&lt;&gt;"Absolute"</formula>
    </cfRule>
  </conditionalFormatting>
  <conditionalFormatting sqref="T76">
    <cfRule type="expression" dxfId="179" priority="212">
      <formula>$P76&lt;&gt;"Absolute"</formula>
    </cfRule>
  </conditionalFormatting>
  <conditionalFormatting sqref="T36">
    <cfRule type="expression" dxfId="178" priority="220">
      <formula>$P36&lt;&gt;"Absolute"</formula>
    </cfRule>
  </conditionalFormatting>
  <conditionalFormatting sqref="T37">
    <cfRule type="expression" dxfId="177" priority="211">
      <formula>$P36&lt;&gt;"Absolute"</formula>
    </cfRule>
  </conditionalFormatting>
  <conditionalFormatting sqref="T42">
    <cfRule type="expression" dxfId="176" priority="210">
      <formula>$P41&lt;&gt;"Absolute"</formula>
    </cfRule>
  </conditionalFormatting>
  <conditionalFormatting sqref="T47">
    <cfRule type="expression" dxfId="175" priority="209">
      <formula>$P46&lt;&gt;"Absolute"</formula>
    </cfRule>
  </conditionalFormatting>
  <conditionalFormatting sqref="T52">
    <cfRule type="expression" dxfId="174" priority="208">
      <formula>$P51&lt;&gt;"Absolute"</formula>
    </cfRule>
  </conditionalFormatting>
  <conditionalFormatting sqref="T57">
    <cfRule type="expression" dxfId="173" priority="207">
      <formula>$P56&lt;&gt;"Absolute"</formula>
    </cfRule>
  </conditionalFormatting>
  <conditionalFormatting sqref="T62">
    <cfRule type="expression" dxfId="172" priority="206">
      <formula>$P61&lt;&gt;"Absolute"</formula>
    </cfRule>
  </conditionalFormatting>
  <conditionalFormatting sqref="T67">
    <cfRule type="expression" dxfId="171" priority="205">
      <formula>$P66&lt;&gt;"Absolute"</formula>
    </cfRule>
  </conditionalFormatting>
  <conditionalFormatting sqref="T72">
    <cfRule type="expression" dxfId="170" priority="204">
      <formula>$P71&lt;&gt;"Absolute"</formula>
    </cfRule>
  </conditionalFormatting>
  <conditionalFormatting sqref="T77">
    <cfRule type="expression" dxfId="169" priority="203">
      <formula>$P76&lt;&gt;"Absolute"</formula>
    </cfRule>
  </conditionalFormatting>
  <conditionalFormatting sqref="E92:I92">
    <cfRule type="colorScale" priority="202">
      <colorScale>
        <cfvo type="min"/>
        <cfvo type="percentile" val="50"/>
        <cfvo type="max"/>
        <color rgb="FFF8696B"/>
        <color rgb="FFFFEB84"/>
        <color rgb="FF63BE7B"/>
      </colorScale>
    </cfRule>
  </conditionalFormatting>
  <conditionalFormatting sqref="AD31:AE31">
    <cfRule type="expression" dxfId="168" priority="201">
      <formula>$P31&lt;&gt;"Relative Change"</formula>
    </cfRule>
  </conditionalFormatting>
  <conditionalFormatting sqref="AC32:AE32">
    <cfRule type="expression" dxfId="167" priority="200">
      <formula>$P31&lt;&gt;"Relative Change"</formula>
    </cfRule>
  </conditionalFormatting>
  <conditionalFormatting sqref="AC33:AE34">
    <cfRule type="expression" dxfId="166" priority="199">
      <formula>$P31&lt;&gt;"Relative Change"</formula>
    </cfRule>
  </conditionalFormatting>
  <conditionalFormatting sqref="AD36:AE36">
    <cfRule type="expression" dxfId="165" priority="198">
      <formula>$P36&lt;&gt;"Relative Change"</formula>
    </cfRule>
  </conditionalFormatting>
  <conditionalFormatting sqref="AC37:AE37">
    <cfRule type="expression" dxfId="164" priority="197">
      <formula>$P36&lt;&gt;"Relative Change"</formula>
    </cfRule>
  </conditionalFormatting>
  <conditionalFormatting sqref="AC38:AE38">
    <cfRule type="expression" dxfId="163" priority="196">
      <formula>$P36&lt;&gt;"Relative Change"</formula>
    </cfRule>
  </conditionalFormatting>
  <conditionalFormatting sqref="AD41:AE41">
    <cfRule type="expression" dxfId="162" priority="195">
      <formula>$P41&lt;&gt;"Relative Change"</formula>
    </cfRule>
  </conditionalFormatting>
  <conditionalFormatting sqref="AC42:AE42">
    <cfRule type="expression" dxfId="161" priority="194">
      <formula>$P41&lt;&gt;"Relative Change"</formula>
    </cfRule>
  </conditionalFormatting>
  <conditionalFormatting sqref="AC43:AE43">
    <cfRule type="expression" dxfId="160" priority="193">
      <formula>$P41&lt;&gt;"Relative Change"</formula>
    </cfRule>
  </conditionalFormatting>
  <conditionalFormatting sqref="AD46:AE46">
    <cfRule type="expression" dxfId="159" priority="192">
      <formula>$P46&lt;&gt;"Relative Change"</formula>
    </cfRule>
  </conditionalFormatting>
  <conditionalFormatting sqref="AC47:AE47">
    <cfRule type="expression" dxfId="158" priority="191">
      <formula>$P46&lt;&gt;"Relative Change"</formula>
    </cfRule>
  </conditionalFormatting>
  <conditionalFormatting sqref="AC48:AE48">
    <cfRule type="expression" dxfId="157" priority="190">
      <formula>$P46&lt;&gt;"Relative Change"</formula>
    </cfRule>
  </conditionalFormatting>
  <conditionalFormatting sqref="AD51:AE51">
    <cfRule type="expression" dxfId="156" priority="189">
      <formula>$P51&lt;&gt;"Relative Change"</formula>
    </cfRule>
  </conditionalFormatting>
  <conditionalFormatting sqref="AC52:AE52">
    <cfRule type="expression" dxfId="155" priority="188">
      <formula>$P51&lt;&gt;"Relative Change"</formula>
    </cfRule>
  </conditionalFormatting>
  <conditionalFormatting sqref="AC53:AE53">
    <cfRule type="expression" dxfId="154" priority="187">
      <formula>$P51&lt;&gt;"Relative Change"</formula>
    </cfRule>
  </conditionalFormatting>
  <conditionalFormatting sqref="AD56:AE56">
    <cfRule type="expression" dxfId="153" priority="186">
      <formula>$P56&lt;&gt;"Relative Change"</formula>
    </cfRule>
  </conditionalFormatting>
  <conditionalFormatting sqref="AC57:AE57">
    <cfRule type="expression" dxfId="152" priority="185">
      <formula>$P56&lt;&gt;"Relative Change"</formula>
    </cfRule>
  </conditionalFormatting>
  <conditionalFormatting sqref="AC58:AE58">
    <cfRule type="expression" dxfId="151" priority="184">
      <formula>$P56&lt;&gt;"Relative Change"</formula>
    </cfRule>
  </conditionalFormatting>
  <conditionalFormatting sqref="AD61:AE61">
    <cfRule type="expression" dxfId="150" priority="183">
      <formula>$P61&lt;&gt;"Relative Change"</formula>
    </cfRule>
  </conditionalFormatting>
  <conditionalFormatting sqref="AC62:AE62">
    <cfRule type="expression" dxfId="149" priority="182">
      <formula>$P61&lt;&gt;"Relative Change"</formula>
    </cfRule>
  </conditionalFormatting>
  <conditionalFormatting sqref="AC63:AE63">
    <cfRule type="expression" dxfId="148" priority="181">
      <formula>$P61&lt;&gt;"Relative Change"</formula>
    </cfRule>
  </conditionalFormatting>
  <conditionalFormatting sqref="AD66:AE66">
    <cfRule type="expression" dxfId="147" priority="180">
      <formula>$P66&lt;&gt;"Relative Change"</formula>
    </cfRule>
  </conditionalFormatting>
  <conditionalFormatting sqref="AC67:AE67">
    <cfRule type="expression" dxfId="146" priority="179">
      <formula>$P66&lt;&gt;"Relative Change"</formula>
    </cfRule>
  </conditionalFormatting>
  <conditionalFormatting sqref="AC68:AE68">
    <cfRule type="expression" dxfId="145" priority="178">
      <formula>$P66&lt;&gt;"Relative Change"</formula>
    </cfRule>
  </conditionalFormatting>
  <conditionalFormatting sqref="AD71:AE71">
    <cfRule type="expression" dxfId="144" priority="177">
      <formula>$P71&lt;&gt;"Relative Change"</formula>
    </cfRule>
  </conditionalFormatting>
  <conditionalFormatting sqref="AC72:AE72">
    <cfRule type="expression" dxfId="143" priority="176">
      <formula>$P71&lt;&gt;"Relative Change"</formula>
    </cfRule>
  </conditionalFormatting>
  <conditionalFormatting sqref="AC73:AE73">
    <cfRule type="expression" dxfId="142" priority="175">
      <formula>$P71&lt;&gt;"Relative Change"</formula>
    </cfRule>
  </conditionalFormatting>
  <conditionalFormatting sqref="AD76:AE76">
    <cfRule type="expression" dxfId="141" priority="174">
      <formula>$P76&lt;&gt;"Relative Change"</formula>
    </cfRule>
  </conditionalFormatting>
  <conditionalFormatting sqref="AC77:AE77">
    <cfRule type="expression" dxfId="140" priority="173">
      <formula>$P76&lt;&gt;"Relative Change"</formula>
    </cfRule>
  </conditionalFormatting>
  <conditionalFormatting sqref="AC78:AE78">
    <cfRule type="expression" dxfId="139" priority="172">
      <formula>$P76&lt;&gt;"Relative Change"</formula>
    </cfRule>
  </conditionalFormatting>
  <conditionalFormatting sqref="P32">
    <cfRule type="expression" dxfId="138" priority="171">
      <formula>OR($P31="Absolute",$P31="Non-Linear")</formula>
    </cfRule>
  </conditionalFormatting>
  <conditionalFormatting sqref="P33">
    <cfRule type="expression" dxfId="137" priority="170">
      <formula>OR($P31="Absolute",$P31="Non-Linear")</formula>
    </cfRule>
  </conditionalFormatting>
  <conditionalFormatting sqref="Y31:Z31">
    <cfRule type="expression" dxfId="136" priority="169">
      <formula>$P31&lt;&gt;"Relative"</formula>
    </cfRule>
  </conditionalFormatting>
  <conditionalFormatting sqref="Y32:Z32">
    <cfRule type="expression" dxfId="135" priority="168">
      <formula>$P31&lt;&gt;"Relative"</formula>
    </cfRule>
  </conditionalFormatting>
  <conditionalFormatting sqref="Y36:Z36">
    <cfRule type="expression" dxfId="134" priority="167">
      <formula>$P36&lt;&gt;"Relative"</formula>
    </cfRule>
  </conditionalFormatting>
  <conditionalFormatting sqref="Y37:Z37">
    <cfRule type="expression" dxfId="133" priority="166">
      <formula>$P36&lt;&gt;"Relative"</formula>
    </cfRule>
  </conditionalFormatting>
  <conditionalFormatting sqref="Y41:Z41">
    <cfRule type="expression" dxfId="132" priority="165">
      <formula>$P41&lt;&gt;"Relative"</formula>
    </cfRule>
  </conditionalFormatting>
  <conditionalFormatting sqref="Y42:Z42">
    <cfRule type="expression" dxfId="131" priority="164">
      <formula>$P41&lt;&gt;"Relative"</formula>
    </cfRule>
  </conditionalFormatting>
  <conditionalFormatting sqref="Y46:Z46">
    <cfRule type="expression" dxfId="130" priority="163">
      <formula>$P46&lt;&gt;"Relative"</formula>
    </cfRule>
  </conditionalFormatting>
  <conditionalFormatting sqref="Y47:Z47">
    <cfRule type="expression" dxfId="129" priority="162">
      <formula>$P46&lt;&gt;"Relative"</formula>
    </cfRule>
  </conditionalFormatting>
  <conditionalFormatting sqref="Y51:Z51">
    <cfRule type="expression" dxfId="128" priority="161">
      <formula>$P51&lt;&gt;"Relative"</formula>
    </cfRule>
  </conditionalFormatting>
  <conditionalFormatting sqref="Y52:Z52">
    <cfRule type="expression" dxfId="127" priority="160">
      <formula>$P51&lt;&gt;"Relative"</formula>
    </cfRule>
  </conditionalFormatting>
  <conditionalFormatting sqref="Y56:Z56">
    <cfRule type="expression" dxfId="126" priority="159">
      <formula>$P56&lt;&gt;"Relative"</formula>
    </cfRule>
  </conditionalFormatting>
  <conditionalFormatting sqref="Y57:Z57">
    <cfRule type="expression" dxfId="125" priority="158">
      <formula>$P56&lt;&gt;"Relative"</formula>
    </cfRule>
  </conditionalFormatting>
  <conditionalFormatting sqref="Y61:Z61">
    <cfRule type="expression" dxfId="124" priority="157">
      <formula>$P61&lt;&gt;"Relative"</formula>
    </cfRule>
  </conditionalFormatting>
  <conditionalFormatting sqref="Y62:Z62">
    <cfRule type="expression" dxfId="123" priority="156">
      <formula>$P61&lt;&gt;"Relative"</formula>
    </cfRule>
  </conditionalFormatting>
  <conditionalFormatting sqref="Y66:Z66">
    <cfRule type="expression" dxfId="122" priority="155">
      <formula>$P66&lt;&gt;"Relative"</formula>
    </cfRule>
  </conditionalFormatting>
  <conditionalFormatting sqref="Y67:Z67">
    <cfRule type="expression" dxfId="121" priority="154">
      <formula>$P66&lt;&gt;"Relative"</formula>
    </cfRule>
  </conditionalFormatting>
  <conditionalFormatting sqref="Y71:Z71">
    <cfRule type="expression" dxfId="120" priority="153">
      <formula>$P71&lt;&gt;"Relative"</formula>
    </cfRule>
  </conditionalFormatting>
  <conditionalFormatting sqref="Y72:Z72">
    <cfRule type="expression" dxfId="119" priority="152">
      <formula>$P71&lt;&gt;"Relative"</formula>
    </cfRule>
  </conditionalFormatting>
  <conditionalFormatting sqref="Y76:Z76">
    <cfRule type="expression" dxfId="118" priority="151">
      <formula>$P76&lt;&gt;"Relative"</formula>
    </cfRule>
  </conditionalFormatting>
  <conditionalFormatting sqref="Y77:Z77">
    <cfRule type="expression" dxfId="117" priority="150">
      <formula>$P76&lt;&gt;"Relative"</formula>
    </cfRule>
  </conditionalFormatting>
  <conditionalFormatting sqref="AC39:AE39">
    <cfRule type="expression" dxfId="116" priority="149">
      <formula>$P37&lt;&gt;"Relative Change"</formula>
    </cfRule>
  </conditionalFormatting>
  <conditionalFormatting sqref="AC44:AE44">
    <cfRule type="expression" dxfId="115" priority="148">
      <formula>$P42&lt;&gt;"Relative Change"</formula>
    </cfRule>
  </conditionalFormatting>
  <conditionalFormatting sqref="AC49:AE49">
    <cfRule type="expression" dxfId="114" priority="147">
      <formula>$P47&lt;&gt;"Relative Change"</formula>
    </cfRule>
  </conditionalFormatting>
  <conditionalFormatting sqref="AC54:AE54">
    <cfRule type="expression" dxfId="113" priority="146">
      <formula>$P52&lt;&gt;"Relative Change"</formula>
    </cfRule>
  </conditionalFormatting>
  <conditionalFormatting sqref="AC59:AE59">
    <cfRule type="expression" dxfId="112" priority="145">
      <formula>$P57&lt;&gt;"Relative Change"</formula>
    </cfRule>
  </conditionalFormatting>
  <conditionalFormatting sqref="AC64:AE64">
    <cfRule type="expression" dxfId="111" priority="144">
      <formula>$P62&lt;&gt;"Relative Change"</formula>
    </cfRule>
  </conditionalFormatting>
  <conditionalFormatting sqref="AC69:AE69">
    <cfRule type="expression" dxfId="110" priority="143">
      <formula>$P67&lt;&gt;"Relative Change"</formula>
    </cfRule>
  </conditionalFormatting>
  <conditionalFormatting sqref="AC74:AE74">
    <cfRule type="expression" dxfId="109" priority="142">
      <formula>$P72&lt;&gt;"Relative Change"</formula>
    </cfRule>
  </conditionalFormatting>
  <conditionalFormatting sqref="AC79:AE79">
    <cfRule type="expression" dxfId="108" priority="141">
      <formula>$P77&lt;&gt;"Relative Change"</formula>
    </cfRule>
  </conditionalFormatting>
  <conditionalFormatting sqref="P37">
    <cfRule type="expression" dxfId="107" priority="140">
      <formula>OR($P36="Absolute",$P36="Non-Linear")</formula>
    </cfRule>
  </conditionalFormatting>
  <conditionalFormatting sqref="P38">
    <cfRule type="expression" dxfId="106" priority="139">
      <formula>OR($P36="Absolute",$P36="Non-Linear")</formula>
    </cfRule>
  </conditionalFormatting>
  <conditionalFormatting sqref="P42">
    <cfRule type="expression" dxfId="105" priority="138">
      <formula>OR($P41="Absolute",$P41="Non-Linear")</formula>
    </cfRule>
  </conditionalFormatting>
  <conditionalFormatting sqref="P43">
    <cfRule type="expression" dxfId="104" priority="137">
      <formula>OR($P41="Absolute",$P41="Non-Linear")</formula>
    </cfRule>
  </conditionalFormatting>
  <conditionalFormatting sqref="P47">
    <cfRule type="expression" dxfId="103" priority="136">
      <formula>OR($P46="Absolute",$P46="Non-Linear")</formula>
    </cfRule>
  </conditionalFormatting>
  <conditionalFormatting sqref="P48">
    <cfRule type="expression" dxfId="102" priority="135">
      <formula>OR($P46="Absolute",$P46="Non-Linear")</formula>
    </cfRule>
  </conditionalFormatting>
  <conditionalFormatting sqref="P52">
    <cfRule type="expression" dxfId="101" priority="134">
      <formula>OR($P51="Absolute",$P51="Non-Linear")</formula>
    </cfRule>
  </conditionalFormatting>
  <conditionalFormatting sqref="P53">
    <cfRule type="expression" dxfId="100" priority="133">
      <formula>OR($P51="Absolute",$P51="Non-Linear")</formula>
    </cfRule>
  </conditionalFormatting>
  <conditionalFormatting sqref="P57">
    <cfRule type="expression" dxfId="99" priority="132">
      <formula>OR($P56="Absolute",$P56="Non-Linear")</formula>
    </cfRule>
  </conditionalFormatting>
  <conditionalFormatting sqref="P58">
    <cfRule type="expression" dxfId="98" priority="131">
      <formula>OR($P56="Absolute",$P56="Non-Linear")</formula>
    </cfRule>
  </conditionalFormatting>
  <conditionalFormatting sqref="P62">
    <cfRule type="expression" dxfId="97" priority="130">
      <formula>OR($P61="Absolute",$P61="Non-Linear")</formula>
    </cfRule>
  </conditionalFormatting>
  <conditionalFormatting sqref="P63">
    <cfRule type="expression" dxfId="96" priority="129">
      <formula>OR($P61="Absolute",$P61="Non-Linear")</formula>
    </cfRule>
  </conditionalFormatting>
  <conditionalFormatting sqref="P67">
    <cfRule type="expression" dxfId="95" priority="128">
      <formula>OR($P66="Absolute",$P66="Non-Linear")</formula>
    </cfRule>
  </conditionalFormatting>
  <conditionalFormatting sqref="P68">
    <cfRule type="expression" dxfId="94" priority="127">
      <formula>OR($P66="Absolute",$P66="Non-Linear")</formula>
    </cfRule>
  </conditionalFormatting>
  <conditionalFormatting sqref="P72">
    <cfRule type="expression" dxfId="93" priority="126">
      <formula>OR($P71="Absolute",$P71="Non-Linear")</formula>
    </cfRule>
  </conditionalFormatting>
  <conditionalFormatting sqref="P73">
    <cfRule type="expression" dxfId="92" priority="125">
      <formula>OR($P71="Absolute",$P71="Non-Linear")</formula>
    </cfRule>
  </conditionalFormatting>
  <conditionalFormatting sqref="P77">
    <cfRule type="expression" dxfId="91" priority="124">
      <formula>OR($P76="Absolute",$P76="Non-Linear")</formula>
    </cfRule>
  </conditionalFormatting>
  <conditionalFormatting sqref="P78">
    <cfRule type="expression" dxfId="90" priority="123">
      <formula>OR($P76="Absolute",$P76="Non-Linear")</formula>
    </cfRule>
  </conditionalFormatting>
  <conditionalFormatting sqref="E31:I31">
    <cfRule type="expression" dxfId="89" priority="122">
      <formula>$P31&lt;&gt;"Relative Change"</formula>
    </cfRule>
  </conditionalFormatting>
  <conditionalFormatting sqref="E32:I32">
    <cfRule type="expression" dxfId="88" priority="121">
      <formula>$P31&lt;&gt;"Absolute"</formula>
    </cfRule>
  </conditionalFormatting>
  <conditionalFormatting sqref="E33:I33">
    <cfRule type="expression" dxfId="87" priority="120">
      <formula>AND($P31&lt;&gt;"Relative",$P31&lt;&gt;"Relative Change")</formula>
    </cfRule>
  </conditionalFormatting>
  <conditionalFormatting sqref="E34:I34">
    <cfRule type="expression" dxfId="86" priority="119">
      <formula>$P31&lt;&gt;"Non-Linear"</formula>
    </cfRule>
  </conditionalFormatting>
  <conditionalFormatting sqref="E66:I66">
    <cfRule type="expression" dxfId="85" priority="36">
      <formula>$P66&lt;&gt;"Relative Change"</formula>
    </cfRule>
  </conditionalFormatting>
  <conditionalFormatting sqref="E67:I67">
    <cfRule type="expression" dxfId="84" priority="35">
      <formula>$P66&lt;&gt;"Absolute"</formula>
    </cfRule>
  </conditionalFormatting>
  <conditionalFormatting sqref="E68:I68">
    <cfRule type="expression" dxfId="83" priority="34">
      <formula>AND($P66&lt;&gt;"Relative",$P66&lt;&gt;"Relative Change")</formula>
    </cfRule>
  </conditionalFormatting>
  <conditionalFormatting sqref="E69:I69">
    <cfRule type="expression" dxfId="82" priority="33">
      <formula>$P66&lt;&gt;"Non-Linear"</formula>
    </cfRule>
  </conditionalFormatting>
  <conditionalFormatting sqref="J66:N66">
    <cfRule type="expression" dxfId="81" priority="32">
      <formula>$P66&lt;&gt;"Relative Change"</formula>
    </cfRule>
  </conditionalFormatting>
  <conditionalFormatting sqref="J67:N67">
    <cfRule type="expression" dxfId="80" priority="31">
      <formula>$P66&lt;&gt;"Absolute"</formula>
    </cfRule>
  </conditionalFormatting>
  <conditionalFormatting sqref="J68:N68">
    <cfRule type="expression" dxfId="79" priority="30">
      <formula>AND($P66&lt;&gt;"Relative",$P66&lt;&gt;"Relative Change")</formula>
    </cfRule>
  </conditionalFormatting>
  <conditionalFormatting sqref="J69:N69">
    <cfRule type="expression" dxfId="78" priority="29">
      <formula>$P66&lt;&gt;"Non-Linear"</formula>
    </cfRule>
  </conditionalFormatting>
  <conditionalFormatting sqref="E71:I71">
    <cfRule type="expression" dxfId="77" priority="24">
      <formula>$P71&lt;&gt;"Relative Change"</formula>
    </cfRule>
  </conditionalFormatting>
  <conditionalFormatting sqref="E72:I72">
    <cfRule type="expression" dxfId="76" priority="23">
      <formula>$P71&lt;&gt;"Absolute"</formula>
    </cfRule>
  </conditionalFormatting>
  <conditionalFormatting sqref="E73:I73">
    <cfRule type="expression" dxfId="75" priority="22">
      <formula>AND($P71&lt;&gt;"Relative",$P71&lt;&gt;"Relative Change")</formula>
    </cfRule>
  </conditionalFormatting>
  <conditionalFormatting sqref="E74:I74">
    <cfRule type="expression" dxfId="74" priority="21">
      <formula>$P71&lt;&gt;"Non-Linear"</formula>
    </cfRule>
  </conditionalFormatting>
  <conditionalFormatting sqref="J71:N71">
    <cfRule type="expression" dxfId="73" priority="20">
      <formula>$P71&lt;&gt;"Relative Change"</formula>
    </cfRule>
  </conditionalFormatting>
  <conditionalFormatting sqref="J72:N72">
    <cfRule type="expression" dxfId="72" priority="19">
      <formula>$P71&lt;&gt;"Absolute"</formula>
    </cfRule>
  </conditionalFormatting>
  <conditionalFormatting sqref="J73:N73">
    <cfRule type="expression" dxfId="71" priority="18">
      <formula>AND($P71&lt;&gt;"Relative",$P71&lt;&gt;"Relative Change")</formula>
    </cfRule>
  </conditionalFormatting>
  <conditionalFormatting sqref="J74:N74">
    <cfRule type="expression" dxfId="70" priority="17">
      <formula>$P71&lt;&gt;"Non-Linear"</formula>
    </cfRule>
  </conditionalFormatting>
  <conditionalFormatting sqref="E76:I76">
    <cfRule type="expression" dxfId="69" priority="12">
      <formula>$P76&lt;&gt;"Relative Change"</formula>
    </cfRule>
  </conditionalFormatting>
  <conditionalFormatting sqref="E77:I77">
    <cfRule type="expression" dxfId="68" priority="11">
      <formula>$P76&lt;&gt;"Absolute"</formula>
    </cfRule>
  </conditionalFormatting>
  <conditionalFormatting sqref="E78:I78">
    <cfRule type="expression" dxfId="67" priority="10">
      <formula>AND($P76&lt;&gt;"Relative",$P76&lt;&gt;"Relative Change")</formula>
    </cfRule>
  </conditionalFormatting>
  <conditionalFormatting sqref="E79:I79">
    <cfRule type="expression" dxfId="66" priority="9">
      <formula>$P76&lt;&gt;"Non-Linear"</formula>
    </cfRule>
  </conditionalFormatting>
  <conditionalFormatting sqref="J76:N76">
    <cfRule type="expression" dxfId="65" priority="8">
      <formula>$P76&lt;&gt;"Relative Change"</formula>
    </cfRule>
  </conditionalFormatting>
  <conditionalFormatting sqref="J77:N77">
    <cfRule type="expression" dxfId="64" priority="7">
      <formula>$P76&lt;&gt;"Absolute"</formula>
    </cfRule>
  </conditionalFormatting>
  <conditionalFormatting sqref="J78:N78">
    <cfRule type="expression" dxfId="63" priority="6">
      <formula>AND($P76&lt;&gt;"Relative",$P76&lt;&gt;"Relative Change")</formula>
    </cfRule>
  </conditionalFormatting>
  <conditionalFormatting sqref="J79:N79">
    <cfRule type="expression" dxfId="62" priority="5">
      <formula>$P76&lt;&gt;"Non-Linear"</formula>
    </cfRule>
  </conditionalFormatting>
  <conditionalFormatting sqref="J92:N92">
    <cfRule type="colorScale" priority="118">
      <colorScale>
        <cfvo type="min"/>
        <cfvo type="percentile" val="50"/>
        <cfvo type="max"/>
        <color rgb="FFF8696B"/>
        <color rgb="FFFFEB84"/>
        <color rgb="FF63BE7B"/>
      </colorScale>
    </cfRule>
  </conditionalFormatting>
  <conditionalFormatting sqref="J31:N31">
    <cfRule type="expression" dxfId="61" priority="117">
      <formula>$P31&lt;&gt;"Relative Change"</formula>
    </cfRule>
  </conditionalFormatting>
  <conditionalFormatting sqref="J32:N32">
    <cfRule type="expression" dxfId="60" priority="116">
      <formula>$P31&lt;&gt;"Absolute"</formula>
    </cfRule>
  </conditionalFormatting>
  <conditionalFormatting sqref="J33:N33">
    <cfRule type="expression" dxfId="59" priority="115">
      <formula>AND($P31&lt;&gt;"Relative",$P31&lt;&gt;"Relative Change")</formula>
    </cfRule>
  </conditionalFormatting>
  <conditionalFormatting sqref="J34:N34">
    <cfRule type="expression" dxfId="58" priority="114">
      <formula>$P31&lt;&gt;"Non-Linear"</formula>
    </cfRule>
  </conditionalFormatting>
  <conditionalFormatting sqref="J56:N56">
    <cfRule type="expression" dxfId="57" priority="56">
      <formula>$P56&lt;&gt;"Relative Change"</formula>
    </cfRule>
  </conditionalFormatting>
  <conditionalFormatting sqref="J57:N57">
    <cfRule type="expression" dxfId="56" priority="55">
      <formula>$P56&lt;&gt;"Absolute"</formula>
    </cfRule>
  </conditionalFormatting>
  <conditionalFormatting sqref="J58:N58">
    <cfRule type="expression" dxfId="55" priority="54">
      <formula>AND($P56&lt;&gt;"Relative",$P56&lt;&gt;"Relative Change")</formula>
    </cfRule>
  </conditionalFormatting>
  <conditionalFormatting sqref="J59:N59">
    <cfRule type="expression" dxfId="54" priority="53">
      <formula>$P56&lt;&gt;"Non-Linear"</formula>
    </cfRule>
  </conditionalFormatting>
  <conditionalFormatting sqref="E51:I51">
    <cfRule type="expression" dxfId="53" priority="72">
      <formula>$P51&lt;&gt;"Relative Change"</formula>
    </cfRule>
  </conditionalFormatting>
  <conditionalFormatting sqref="E52:I52">
    <cfRule type="expression" dxfId="52" priority="71">
      <formula>$P51&lt;&gt;"Absolute"</formula>
    </cfRule>
  </conditionalFormatting>
  <conditionalFormatting sqref="E53:I53">
    <cfRule type="expression" dxfId="51" priority="70">
      <formula>AND($P51&lt;&gt;"Relative",$P51&lt;&gt;"Relative Change")</formula>
    </cfRule>
  </conditionalFormatting>
  <conditionalFormatting sqref="E54:I54">
    <cfRule type="expression" dxfId="50" priority="69">
      <formula>$P51&lt;&gt;"Non-Linear"</formula>
    </cfRule>
  </conditionalFormatting>
  <conditionalFormatting sqref="J46:N46">
    <cfRule type="expression" dxfId="49" priority="80">
      <formula>$P46&lt;&gt;"Relative Change"</formula>
    </cfRule>
  </conditionalFormatting>
  <conditionalFormatting sqref="J47:N47">
    <cfRule type="expression" dxfId="48" priority="79">
      <formula>$P46&lt;&gt;"Absolute"</formula>
    </cfRule>
  </conditionalFormatting>
  <conditionalFormatting sqref="J48:N48">
    <cfRule type="expression" dxfId="47" priority="78">
      <formula>AND($P46&lt;&gt;"Relative",$P46&lt;&gt;"Relative Change")</formula>
    </cfRule>
  </conditionalFormatting>
  <conditionalFormatting sqref="J49:N49">
    <cfRule type="expression" dxfId="46" priority="77">
      <formula>$P46&lt;&gt;"Non-Linear"</formula>
    </cfRule>
  </conditionalFormatting>
  <conditionalFormatting sqref="E41:I41">
    <cfRule type="expression" dxfId="45" priority="96">
      <formula>$P41&lt;&gt;"Relative Change"</formula>
    </cfRule>
  </conditionalFormatting>
  <conditionalFormatting sqref="E42:I42">
    <cfRule type="expression" dxfId="44" priority="95">
      <formula>$P41&lt;&gt;"Absolute"</formula>
    </cfRule>
  </conditionalFormatting>
  <conditionalFormatting sqref="E43:I43">
    <cfRule type="expression" dxfId="43" priority="94">
      <formula>AND($P41&lt;&gt;"Relative",$P41&lt;&gt;"Relative Change")</formula>
    </cfRule>
  </conditionalFormatting>
  <conditionalFormatting sqref="E44:I44">
    <cfRule type="expression" dxfId="42" priority="93">
      <formula>$P41&lt;&gt;"Non-Linear"</formula>
    </cfRule>
  </conditionalFormatting>
  <conditionalFormatting sqref="J36:N36">
    <cfRule type="expression" dxfId="41" priority="104">
      <formula>$P36&lt;&gt;"Relative Change"</formula>
    </cfRule>
  </conditionalFormatting>
  <conditionalFormatting sqref="J37:N37">
    <cfRule type="expression" dxfId="40" priority="103">
      <formula>$P36&lt;&gt;"Absolute"</formula>
    </cfRule>
  </conditionalFormatting>
  <conditionalFormatting sqref="J38:N38">
    <cfRule type="expression" dxfId="39" priority="102">
      <formula>AND($P36&lt;&gt;"Relative",$P36&lt;&gt;"Relative Change")</formula>
    </cfRule>
  </conditionalFormatting>
  <conditionalFormatting sqref="J39:N39">
    <cfRule type="expression" dxfId="38" priority="101">
      <formula>$P36&lt;&gt;"Non-Linear"</formula>
    </cfRule>
  </conditionalFormatting>
  <conditionalFormatting sqref="E36:I36">
    <cfRule type="expression" dxfId="37" priority="108">
      <formula>$P36&lt;&gt;"Relative Change"</formula>
    </cfRule>
  </conditionalFormatting>
  <conditionalFormatting sqref="E37:I37">
    <cfRule type="expression" dxfId="36" priority="107">
      <formula>$P36&lt;&gt;"Absolute"</formula>
    </cfRule>
  </conditionalFormatting>
  <conditionalFormatting sqref="E38:I38">
    <cfRule type="expression" dxfId="35" priority="106">
      <formula>AND($P36&lt;&gt;"Relative",$P36&lt;&gt;"Relative Change")</formula>
    </cfRule>
  </conditionalFormatting>
  <conditionalFormatting sqref="E39:I39">
    <cfRule type="expression" dxfId="34" priority="105">
      <formula>$P36&lt;&gt;"Non-Linear"</formula>
    </cfRule>
  </conditionalFormatting>
  <conditionalFormatting sqref="J41:N41">
    <cfRule type="expression" dxfId="33" priority="92">
      <formula>$P41&lt;&gt;"Relative Change"</formula>
    </cfRule>
  </conditionalFormatting>
  <conditionalFormatting sqref="J42:N42">
    <cfRule type="expression" dxfId="32" priority="91">
      <formula>$P41&lt;&gt;"Absolute"</formula>
    </cfRule>
  </conditionalFormatting>
  <conditionalFormatting sqref="J43:N43">
    <cfRule type="expression" dxfId="31" priority="90">
      <formula>AND($P41&lt;&gt;"Relative",$P41&lt;&gt;"Relative Change")</formula>
    </cfRule>
  </conditionalFormatting>
  <conditionalFormatting sqref="J44:N44">
    <cfRule type="expression" dxfId="30" priority="89">
      <formula>$P41&lt;&gt;"Non-Linear"</formula>
    </cfRule>
  </conditionalFormatting>
  <conditionalFormatting sqref="E46:I46">
    <cfRule type="expression" dxfId="29" priority="84">
      <formula>$P46&lt;&gt;"Relative Change"</formula>
    </cfRule>
  </conditionalFormatting>
  <conditionalFormatting sqref="E47:I47">
    <cfRule type="expression" dxfId="28" priority="83">
      <formula>$P46&lt;&gt;"Absolute"</formula>
    </cfRule>
  </conditionalFormatting>
  <conditionalFormatting sqref="E48:I48">
    <cfRule type="expression" dxfId="27" priority="82">
      <formula>AND($P46&lt;&gt;"Relative",$P46&lt;&gt;"Relative Change")</formula>
    </cfRule>
  </conditionalFormatting>
  <conditionalFormatting sqref="E49:I49">
    <cfRule type="expression" dxfId="26" priority="81">
      <formula>$P46&lt;&gt;"Non-Linear"</formula>
    </cfRule>
  </conditionalFormatting>
  <conditionalFormatting sqref="J51:N51">
    <cfRule type="expression" dxfId="25" priority="68">
      <formula>$P51&lt;&gt;"Relative Change"</formula>
    </cfRule>
  </conditionalFormatting>
  <conditionalFormatting sqref="J52:N52">
    <cfRule type="expression" dxfId="24" priority="67">
      <formula>$P51&lt;&gt;"Absolute"</formula>
    </cfRule>
  </conditionalFormatting>
  <conditionalFormatting sqref="J53:N53">
    <cfRule type="expression" dxfId="23" priority="66">
      <formula>AND($P51&lt;&gt;"Relative",$P51&lt;&gt;"Relative Change")</formula>
    </cfRule>
  </conditionalFormatting>
  <conditionalFormatting sqref="J54:N54">
    <cfRule type="expression" dxfId="22" priority="65">
      <formula>$P51&lt;&gt;"Non-Linear"</formula>
    </cfRule>
  </conditionalFormatting>
  <conditionalFormatting sqref="E56:I56">
    <cfRule type="expression" dxfId="21" priority="60">
      <formula>$P56&lt;&gt;"Relative Change"</formula>
    </cfRule>
  </conditionalFormatting>
  <conditionalFormatting sqref="E57:I57">
    <cfRule type="expression" dxfId="20" priority="59">
      <formula>$P56&lt;&gt;"Absolute"</formula>
    </cfRule>
  </conditionalFormatting>
  <conditionalFormatting sqref="E58:I58">
    <cfRule type="expression" dxfId="19" priority="58">
      <formula>AND($P56&lt;&gt;"Relative",$P56&lt;&gt;"Relative Change")</formula>
    </cfRule>
  </conditionalFormatting>
  <conditionalFormatting sqref="E59:I59">
    <cfRule type="expression" dxfId="18" priority="57">
      <formula>$P56&lt;&gt;"Non-Linear"</formula>
    </cfRule>
  </conditionalFormatting>
  <conditionalFormatting sqref="E61:I61">
    <cfRule type="expression" dxfId="17" priority="48">
      <formula>$P61&lt;&gt;"Relative Change"</formula>
    </cfRule>
  </conditionalFormatting>
  <conditionalFormatting sqref="E62:I62">
    <cfRule type="expression" dxfId="16" priority="47">
      <formula>$P61&lt;&gt;"Absolute"</formula>
    </cfRule>
  </conditionalFormatting>
  <conditionalFormatting sqref="E63:I63">
    <cfRule type="expression" dxfId="15" priority="46">
      <formula>AND($P61&lt;&gt;"Relative",$P61&lt;&gt;"Relative Change")</formula>
    </cfRule>
  </conditionalFormatting>
  <conditionalFormatting sqref="E64:I64">
    <cfRule type="expression" dxfId="14" priority="45">
      <formula>$P61&lt;&gt;"Non-Linear"</formula>
    </cfRule>
  </conditionalFormatting>
  <conditionalFormatting sqref="J61:N61">
    <cfRule type="expression" dxfId="13" priority="44">
      <formula>$P61&lt;&gt;"Relative Change"</formula>
    </cfRule>
  </conditionalFormatting>
  <conditionalFormatting sqref="J62:N62">
    <cfRule type="expression" dxfId="12" priority="43">
      <formula>$P61&lt;&gt;"Absolute"</formula>
    </cfRule>
  </conditionalFormatting>
  <conditionalFormatting sqref="J63:N63">
    <cfRule type="expression" dxfId="11" priority="42">
      <formula>AND($P61&lt;&gt;"Relative",$P61&lt;&gt;"Relative Change")</formula>
    </cfRule>
  </conditionalFormatting>
  <conditionalFormatting sqref="J64:N64">
    <cfRule type="expression" dxfId="10" priority="41">
      <formula>$P61&lt;&gt;"Non-Linear"</formula>
    </cfRule>
  </conditionalFormatting>
  <dataValidations count="3">
    <dataValidation type="list" allowBlank="1" showInputMessage="1" showErrorMessage="1" sqref="P73 P33 P38 P43 P48 P53 P58 P63 P68 P78">
      <formula1>"+1,-1"</formula1>
    </dataValidation>
    <dataValidation type="list" allowBlank="1" showInputMessage="1" showErrorMessage="1" sqref="P31 P76 P41 P46 P51 P56 P61 P66 P71">
      <formula1>"Absolute, Non-Linear, Relative, Relative Change"</formula1>
    </dataValidation>
    <dataValidation type="list" allowBlank="1" showInputMessage="1" showErrorMessage="1" sqref="P36">
      <formula1>"Absolute, Non-Linear, Relative, Relative Change"</formula1>
    </dataValidation>
  </dataValidations>
  <hyperlinks>
    <hyperlink ref="D5" r:id="rId1"/>
  </hyperlinks>
  <pageMargins left="0.7" right="0.7" top="0.75" bottom="0.75" header="0.3" footer="0.3"/>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2"/>
  </sheetPr>
  <dimension ref="A1:U394"/>
  <sheetViews>
    <sheetView topLeftCell="A38" workbookViewId="0">
      <selection activeCell="E161" sqref="E161"/>
    </sheetView>
  </sheetViews>
  <sheetFormatPr defaultColWidth="15.26953125" defaultRowHeight="13.8"/>
  <cols>
    <col min="1" max="2" width="2.36328125" style="800" customWidth="1"/>
    <col min="3" max="3" width="8.36328125" style="800" customWidth="1"/>
    <col min="4" max="4" width="34.08984375" style="800" customWidth="1"/>
    <col min="5" max="5" width="14.81640625" style="800" customWidth="1"/>
    <col min="6" max="6" width="15.81640625" style="800" customWidth="1"/>
    <col min="7" max="14" width="14.81640625" style="800" customWidth="1"/>
    <col min="15" max="16384" width="15.26953125" style="800"/>
  </cols>
  <sheetData>
    <row r="1" spans="1:21" s="874" customFormat="1" ht="16.2">
      <c r="A1" s="873" t="s">
        <v>2415</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2650</v>
      </c>
      <c r="P2" s="875"/>
      <c r="Q2" s="875"/>
      <c r="R2" s="875"/>
      <c r="S2" s="875"/>
      <c r="U2" s="873"/>
    </row>
    <row r="3" spans="1:21" ht="12.75" customHeight="1">
      <c r="D3" s="801"/>
      <c r="F3" s="801"/>
    </row>
    <row r="4" spans="1:21" s="835" customFormat="1">
      <c r="A4" s="840" t="s">
        <v>2365</v>
      </c>
      <c r="E4" s="839">
        <f>xxRound</f>
        <v>1</v>
      </c>
      <c r="F4" s="838" t="s">
        <v>850</v>
      </c>
      <c r="G4" s="837"/>
      <c r="H4" s="836"/>
      <c r="I4" s="836"/>
    </row>
    <row r="5" spans="1:21" ht="16.5" customHeight="1">
      <c r="D5" s="801"/>
      <c r="E5" s="825" t="s">
        <v>2364</v>
      </c>
      <c r="F5" s="801"/>
    </row>
    <row r="6" spans="1:21" ht="12.75" customHeight="1">
      <c r="D6" s="801"/>
      <c r="F6" s="801"/>
    </row>
    <row r="7" spans="1:21">
      <c r="D7" s="800" t="s">
        <v>865</v>
      </c>
      <c r="E7" s="183" t="s">
        <v>382</v>
      </c>
      <c r="F7" s="182"/>
    </row>
    <row r="8" spans="1:21" ht="12" customHeight="1">
      <c r="B8" s="832"/>
      <c r="D8" s="834"/>
    </row>
    <row r="9" spans="1:21" s="814" customFormat="1">
      <c r="B9" s="833" t="s">
        <v>356</v>
      </c>
      <c r="E9" s="815"/>
      <c r="F9" s="815"/>
      <c r="G9" s="815"/>
      <c r="H9" s="815"/>
      <c r="I9" s="815"/>
    </row>
    <row r="11" spans="1:21">
      <c r="D11" s="832" t="s">
        <v>383</v>
      </c>
    </row>
    <row r="12" spans="1:21">
      <c r="D12" s="831"/>
      <c r="E12" s="827" t="s">
        <v>385</v>
      </c>
      <c r="I12" s="830" t="s">
        <v>384</v>
      </c>
    </row>
    <row r="13" spans="1:21">
      <c r="D13" s="829"/>
      <c r="E13" s="827" t="s">
        <v>354</v>
      </c>
      <c r="I13" s="828"/>
      <c r="J13" s="827" t="s">
        <v>386</v>
      </c>
    </row>
    <row r="14" spans="1:21">
      <c r="D14" s="813"/>
      <c r="E14" s="827" t="s">
        <v>353</v>
      </c>
      <c r="I14" s="826"/>
    </row>
    <row r="15" spans="1:21">
      <c r="E15" s="825"/>
      <c r="I15" s="825"/>
    </row>
    <row r="16" spans="1:21" s="814" customFormat="1" ht="21" customHeight="1">
      <c r="B16" s="816" t="s">
        <v>113</v>
      </c>
      <c r="E16" s="815"/>
      <c r="F16" s="815"/>
      <c r="G16" s="815"/>
      <c r="H16" s="815"/>
      <c r="I16" s="815"/>
    </row>
    <row r="17" spans="2:14" ht="12.75" customHeight="1"/>
    <row r="18" spans="2:14" s="808" customFormat="1"/>
    <row r="19" spans="2:14" s="808" customFormat="1" ht="14.25" customHeight="1">
      <c r="B19" s="808" t="s">
        <v>2363</v>
      </c>
      <c r="D19" s="809"/>
    </row>
    <row r="20" spans="2:14" s="808" customFormat="1" ht="14.25" customHeight="1">
      <c r="B20" s="808" t="s">
        <v>2362</v>
      </c>
      <c r="D20" s="809"/>
    </row>
    <row r="21" spans="2:14" s="808" customFormat="1" ht="14.25" customHeight="1">
      <c r="B21" s="824" t="s">
        <v>2361</v>
      </c>
      <c r="C21" s="824" t="s">
        <v>2360</v>
      </c>
      <c r="D21" s="823"/>
      <c r="E21" s="1307" t="s">
        <v>2359</v>
      </c>
      <c r="F21" s="1307"/>
      <c r="G21" s="1307"/>
      <c r="H21" s="1307"/>
      <c r="I21" s="1307"/>
      <c r="J21" s="1307"/>
      <c r="K21" s="1307"/>
      <c r="L21" s="1307"/>
      <c r="M21" s="1307"/>
      <c r="N21" s="1307"/>
    </row>
    <row r="22" spans="2:14" s="808" customFormat="1">
      <c r="B22" s="809">
        <v>1</v>
      </c>
      <c r="C22" s="818">
        <f t="shared" ref="C22:C42" si="0">MAX(WobblerCalcRound-B22+1,0)</f>
        <v>1</v>
      </c>
      <c r="E22" s="817">
        <f t="shared" ref="E22:N22" si="1">cbalWobbler1R1</f>
        <v>0</v>
      </c>
      <c r="F22" s="817">
        <f t="shared" si="1"/>
        <v>0</v>
      </c>
      <c r="G22" s="817">
        <f t="shared" si="1"/>
        <v>0</v>
      </c>
      <c r="H22" s="817">
        <f t="shared" si="1"/>
        <v>0</v>
      </c>
      <c r="I22" s="817">
        <f t="shared" si="1"/>
        <v>0</v>
      </c>
      <c r="J22" s="817">
        <f t="shared" si="1"/>
        <v>0</v>
      </c>
      <c r="K22" s="817">
        <f t="shared" si="1"/>
        <v>0</v>
      </c>
      <c r="L22" s="817">
        <f t="shared" si="1"/>
        <v>0</v>
      </c>
      <c r="M22" s="817">
        <f t="shared" si="1"/>
        <v>0</v>
      </c>
      <c r="N22" s="817">
        <f t="shared" si="1"/>
        <v>0</v>
      </c>
    </row>
    <row r="23" spans="2:14" s="808" customFormat="1">
      <c r="B23" s="809">
        <v>1</v>
      </c>
      <c r="C23" s="818">
        <f t="shared" si="0"/>
        <v>1</v>
      </c>
      <c r="E23" s="817">
        <f t="shared" ref="E23:N23" si="2">cbalWobbler2R1</f>
        <v>0</v>
      </c>
      <c r="F23" s="817">
        <f t="shared" si="2"/>
        <v>0</v>
      </c>
      <c r="G23" s="817">
        <f t="shared" si="2"/>
        <v>0</v>
      </c>
      <c r="H23" s="817">
        <f t="shared" si="2"/>
        <v>0</v>
      </c>
      <c r="I23" s="817">
        <f t="shared" si="2"/>
        <v>0</v>
      </c>
      <c r="J23" s="817">
        <f t="shared" si="2"/>
        <v>0</v>
      </c>
      <c r="K23" s="817">
        <f t="shared" si="2"/>
        <v>0</v>
      </c>
      <c r="L23" s="817">
        <f t="shared" si="2"/>
        <v>0</v>
      </c>
      <c r="M23" s="817">
        <f t="shared" si="2"/>
        <v>0</v>
      </c>
      <c r="N23" s="817">
        <f t="shared" si="2"/>
        <v>0</v>
      </c>
    </row>
    <row r="24" spans="2:14" s="808" customFormat="1">
      <c r="B24" s="809">
        <v>1</v>
      </c>
      <c r="C24" s="818">
        <f t="shared" si="0"/>
        <v>1</v>
      </c>
      <c r="E24" s="817">
        <f t="shared" ref="E24:N24" si="3">cbalWobbler3R1</f>
        <v>0</v>
      </c>
      <c r="F24" s="817">
        <f t="shared" si="3"/>
        <v>0</v>
      </c>
      <c r="G24" s="817">
        <f t="shared" si="3"/>
        <v>0</v>
      </c>
      <c r="H24" s="817">
        <f t="shared" si="3"/>
        <v>0</v>
      </c>
      <c r="I24" s="817">
        <f t="shared" si="3"/>
        <v>0</v>
      </c>
      <c r="J24" s="817">
        <f t="shared" si="3"/>
        <v>0</v>
      </c>
      <c r="K24" s="817">
        <f t="shared" si="3"/>
        <v>0</v>
      </c>
      <c r="L24" s="817">
        <f t="shared" si="3"/>
        <v>0</v>
      </c>
      <c r="M24" s="817">
        <f t="shared" si="3"/>
        <v>0</v>
      </c>
      <c r="N24" s="817">
        <f t="shared" si="3"/>
        <v>0</v>
      </c>
    </row>
    <row r="25" spans="2:14" s="808" customFormat="1">
      <c r="B25" s="809">
        <v>1</v>
      </c>
      <c r="C25" s="818">
        <f t="shared" si="0"/>
        <v>1</v>
      </c>
      <c r="E25" s="817">
        <f t="shared" ref="E25:N25" si="4">cbalWobbler4R1</f>
        <v>0</v>
      </c>
      <c r="F25" s="817">
        <f t="shared" si="4"/>
        <v>0</v>
      </c>
      <c r="G25" s="817">
        <f t="shared" si="4"/>
        <v>0</v>
      </c>
      <c r="H25" s="817">
        <f t="shared" si="4"/>
        <v>0</v>
      </c>
      <c r="I25" s="817">
        <f t="shared" si="4"/>
        <v>0</v>
      </c>
      <c r="J25" s="817">
        <f t="shared" si="4"/>
        <v>0</v>
      </c>
      <c r="K25" s="817">
        <f t="shared" si="4"/>
        <v>0</v>
      </c>
      <c r="L25" s="817">
        <f t="shared" si="4"/>
        <v>0</v>
      </c>
      <c r="M25" s="817">
        <f t="shared" si="4"/>
        <v>0</v>
      </c>
      <c r="N25" s="817">
        <f t="shared" si="4"/>
        <v>0</v>
      </c>
    </row>
    <row r="26" spans="2:14" s="808" customFormat="1">
      <c r="B26" s="809">
        <v>1</v>
      </c>
      <c r="C26" s="818">
        <f t="shared" si="0"/>
        <v>1</v>
      </c>
      <c r="E26" s="817">
        <f t="shared" ref="E26:N26" si="5">cbalWobbler5R1</f>
        <v>0</v>
      </c>
      <c r="F26" s="817">
        <f t="shared" si="5"/>
        <v>0</v>
      </c>
      <c r="G26" s="817">
        <f t="shared" si="5"/>
        <v>0</v>
      </c>
      <c r="H26" s="817">
        <f t="shared" si="5"/>
        <v>0</v>
      </c>
      <c r="I26" s="817">
        <f t="shared" si="5"/>
        <v>0</v>
      </c>
      <c r="J26" s="817">
        <f t="shared" si="5"/>
        <v>0</v>
      </c>
      <c r="K26" s="817">
        <f t="shared" si="5"/>
        <v>0</v>
      </c>
      <c r="L26" s="817">
        <f t="shared" si="5"/>
        <v>0</v>
      </c>
      <c r="M26" s="817">
        <f t="shared" si="5"/>
        <v>0</v>
      </c>
      <c r="N26" s="817">
        <f t="shared" si="5"/>
        <v>0</v>
      </c>
    </row>
    <row r="27" spans="2:14" s="808" customFormat="1">
      <c r="B27" s="809">
        <v>1</v>
      </c>
      <c r="C27" s="818">
        <f t="shared" si="0"/>
        <v>1</v>
      </c>
      <c r="E27" s="817">
        <f t="shared" ref="E27:N27" si="6">cbalWobbler6R1</f>
        <v>0</v>
      </c>
      <c r="F27" s="817">
        <f t="shared" si="6"/>
        <v>0</v>
      </c>
      <c r="G27" s="817">
        <f t="shared" si="6"/>
        <v>0</v>
      </c>
      <c r="H27" s="817">
        <f t="shared" si="6"/>
        <v>0</v>
      </c>
      <c r="I27" s="817">
        <f t="shared" si="6"/>
        <v>0</v>
      </c>
      <c r="J27" s="817">
        <f t="shared" si="6"/>
        <v>0</v>
      </c>
      <c r="K27" s="817">
        <f t="shared" si="6"/>
        <v>0</v>
      </c>
      <c r="L27" s="817">
        <f t="shared" si="6"/>
        <v>0</v>
      </c>
      <c r="M27" s="817">
        <f t="shared" si="6"/>
        <v>0</v>
      </c>
      <c r="N27" s="817">
        <f t="shared" si="6"/>
        <v>0</v>
      </c>
    </row>
    <row r="28" spans="2:14" s="808" customFormat="1">
      <c r="B28" s="822">
        <v>1</v>
      </c>
      <c r="C28" s="821">
        <f t="shared" si="0"/>
        <v>1</v>
      </c>
      <c r="D28" s="820"/>
      <c r="E28" s="819">
        <f t="shared" ref="E28:N28" si="7">cbalWobbler7R1</f>
        <v>0</v>
      </c>
      <c r="F28" s="819">
        <f t="shared" si="7"/>
        <v>0</v>
      </c>
      <c r="G28" s="819">
        <f t="shared" si="7"/>
        <v>0</v>
      </c>
      <c r="H28" s="819">
        <f t="shared" si="7"/>
        <v>0</v>
      </c>
      <c r="I28" s="819">
        <f t="shared" si="7"/>
        <v>0</v>
      </c>
      <c r="J28" s="819">
        <f t="shared" si="7"/>
        <v>0</v>
      </c>
      <c r="K28" s="819">
        <f t="shared" si="7"/>
        <v>0</v>
      </c>
      <c r="L28" s="819">
        <f t="shared" si="7"/>
        <v>0</v>
      </c>
      <c r="M28" s="819">
        <f t="shared" si="7"/>
        <v>0</v>
      </c>
      <c r="N28" s="819">
        <f t="shared" si="7"/>
        <v>0</v>
      </c>
    </row>
    <row r="29" spans="2:14" s="808" customFormat="1">
      <c r="B29" s="809">
        <v>2</v>
      </c>
      <c r="C29" s="818">
        <f t="shared" si="0"/>
        <v>0</v>
      </c>
      <c r="E29" s="817">
        <f t="shared" ref="E29:N29" si="8">cbalWobbler1R2</f>
        <v>0</v>
      </c>
      <c r="F29" s="817">
        <f t="shared" si="8"/>
        <v>0</v>
      </c>
      <c r="G29" s="817">
        <f t="shared" si="8"/>
        <v>0</v>
      </c>
      <c r="H29" s="817">
        <f t="shared" si="8"/>
        <v>0</v>
      </c>
      <c r="I29" s="817">
        <f t="shared" si="8"/>
        <v>0</v>
      </c>
      <c r="J29" s="817">
        <f t="shared" si="8"/>
        <v>0</v>
      </c>
      <c r="K29" s="817">
        <f t="shared" si="8"/>
        <v>0</v>
      </c>
      <c r="L29" s="817">
        <f t="shared" si="8"/>
        <v>0</v>
      </c>
      <c r="M29" s="817">
        <f t="shared" si="8"/>
        <v>0</v>
      </c>
      <c r="N29" s="817">
        <f t="shared" si="8"/>
        <v>0</v>
      </c>
    </row>
    <row r="30" spans="2:14" s="808" customFormat="1">
      <c r="B30" s="809">
        <v>2</v>
      </c>
      <c r="C30" s="818">
        <f t="shared" si="0"/>
        <v>0</v>
      </c>
      <c r="E30" s="817">
        <f t="shared" ref="E30:N30" si="9">cbalWobbler2R2</f>
        <v>0</v>
      </c>
      <c r="F30" s="817">
        <f t="shared" si="9"/>
        <v>0</v>
      </c>
      <c r="G30" s="817">
        <f t="shared" si="9"/>
        <v>0</v>
      </c>
      <c r="H30" s="817">
        <f t="shared" si="9"/>
        <v>0</v>
      </c>
      <c r="I30" s="817">
        <f t="shared" si="9"/>
        <v>0</v>
      </c>
      <c r="J30" s="817">
        <f t="shared" si="9"/>
        <v>0</v>
      </c>
      <c r="K30" s="817">
        <f t="shared" si="9"/>
        <v>0</v>
      </c>
      <c r="L30" s="817">
        <f t="shared" si="9"/>
        <v>0</v>
      </c>
      <c r="M30" s="817">
        <f t="shared" si="9"/>
        <v>0</v>
      </c>
      <c r="N30" s="817">
        <f t="shared" si="9"/>
        <v>0</v>
      </c>
    </row>
    <row r="31" spans="2:14" s="808" customFormat="1">
      <c r="B31" s="809">
        <v>2</v>
      </c>
      <c r="C31" s="818">
        <f t="shared" si="0"/>
        <v>0</v>
      </c>
      <c r="E31" s="817">
        <f t="shared" ref="E31:N31" si="10">cbalWobbler3R2</f>
        <v>0</v>
      </c>
      <c r="F31" s="817">
        <f t="shared" si="10"/>
        <v>0</v>
      </c>
      <c r="G31" s="817">
        <f t="shared" si="10"/>
        <v>0</v>
      </c>
      <c r="H31" s="817">
        <f t="shared" si="10"/>
        <v>0</v>
      </c>
      <c r="I31" s="817">
        <f t="shared" si="10"/>
        <v>0</v>
      </c>
      <c r="J31" s="817">
        <f t="shared" si="10"/>
        <v>0</v>
      </c>
      <c r="K31" s="817">
        <f t="shared" si="10"/>
        <v>0</v>
      </c>
      <c r="L31" s="817">
        <f t="shared" si="10"/>
        <v>0</v>
      </c>
      <c r="M31" s="817">
        <f t="shared" si="10"/>
        <v>0</v>
      </c>
      <c r="N31" s="817">
        <f t="shared" si="10"/>
        <v>0</v>
      </c>
    </row>
    <row r="32" spans="2:14" s="808" customFormat="1">
      <c r="B32" s="809">
        <v>2</v>
      </c>
      <c r="C32" s="818">
        <f t="shared" si="0"/>
        <v>0</v>
      </c>
      <c r="E32" s="817">
        <f t="shared" ref="E32:N32" si="11">cbalWobbler4R2</f>
        <v>0</v>
      </c>
      <c r="F32" s="817">
        <f t="shared" si="11"/>
        <v>0</v>
      </c>
      <c r="G32" s="817">
        <f t="shared" si="11"/>
        <v>0</v>
      </c>
      <c r="H32" s="817">
        <f t="shared" si="11"/>
        <v>0</v>
      </c>
      <c r="I32" s="817">
        <f t="shared" si="11"/>
        <v>0</v>
      </c>
      <c r="J32" s="817">
        <f t="shared" si="11"/>
        <v>0</v>
      </c>
      <c r="K32" s="817">
        <f t="shared" si="11"/>
        <v>0</v>
      </c>
      <c r="L32" s="817">
        <f t="shared" si="11"/>
        <v>0</v>
      </c>
      <c r="M32" s="817">
        <f t="shared" si="11"/>
        <v>0</v>
      </c>
      <c r="N32" s="817">
        <f t="shared" si="11"/>
        <v>0</v>
      </c>
    </row>
    <row r="33" spans="2:14" s="808" customFormat="1">
      <c r="B33" s="809">
        <v>2</v>
      </c>
      <c r="C33" s="818">
        <f t="shared" si="0"/>
        <v>0</v>
      </c>
      <c r="E33" s="817">
        <f t="shared" ref="E33:N33" si="12">cbalWobbler5R2</f>
        <v>0</v>
      </c>
      <c r="F33" s="817">
        <f t="shared" si="12"/>
        <v>0</v>
      </c>
      <c r="G33" s="817">
        <f t="shared" si="12"/>
        <v>0</v>
      </c>
      <c r="H33" s="817">
        <f t="shared" si="12"/>
        <v>0</v>
      </c>
      <c r="I33" s="817">
        <f t="shared" si="12"/>
        <v>0</v>
      </c>
      <c r="J33" s="817">
        <f t="shared" si="12"/>
        <v>0</v>
      </c>
      <c r="K33" s="817">
        <f t="shared" si="12"/>
        <v>0</v>
      </c>
      <c r="L33" s="817">
        <f t="shared" si="12"/>
        <v>0</v>
      </c>
      <c r="M33" s="817">
        <f t="shared" si="12"/>
        <v>0</v>
      </c>
      <c r="N33" s="817">
        <f t="shared" si="12"/>
        <v>0</v>
      </c>
    </row>
    <row r="34" spans="2:14" s="808" customFormat="1">
      <c r="B34" s="809">
        <v>2</v>
      </c>
      <c r="C34" s="818">
        <f t="shared" si="0"/>
        <v>0</v>
      </c>
      <c r="E34" s="817">
        <f t="shared" ref="E34:N34" si="13">cbalWobbler6R2</f>
        <v>0</v>
      </c>
      <c r="F34" s="817">
        <f t="shared" si="13"/>
        <v>0</v>
      </c>
      <c r="G34" s="817">
        <f t="shared" si="13"/>
        <v>0</v>
      </c>
      <c r="H34" s="817">
        <f t="shared" si="13"/>
        <v>0</v>
      </c>
      <c r="I34" s="817">
        <f t="shared" si="13"/>
        <v>0</v>
      </c>
      <c r="J34" s="817">
        <f t="shared" si="13"/>
        <v>0</v>
      </c>
      <c r="K34" s="817">
        <f t="shared" si="13"/>
        <v>0</v>
      </c>
      <c r="L34" s="817">
        <f t="shared" si="13"/>
        <v>0</v>
      </c>
      <c r="M34" s="817">
        <f t="shared" si="13"/>
        <v>0</v>
      </c>
      <c r="N34" s="817">
        <f t="shared" si="13"/>
        <v>0</v>
      </c>
    </row>
    <row r="35" spans="2:14" s="808" customFormat="1">
      <c r="B35" s="822">
        <v>2</v>
      </c>
      <c r="C35" s="821">
        <f t="shared" si="0"/>
        <v>0</v>
      </c>
      <c r="D35" s="820"/>
      <c r="E35" s="819">
        <f t="shared" ref="E35:N35" si="14">cbalWobbler7R2</f>
        <v>0</v>
      </c>
      <c r="F35" s="819">
        <f t="shared" si="14"/>
        <v>0</v>
      </c>
      <c r="G35" s="819">
        <f t="shared" si="14"/>
        <v>0</v>
      </c>
      <c r="H35" s="819">
        <f t="shared" si="14"/>
        <v>0</v>
      </c>
      <c r="I35" s="819">
        <f t="shared" si="14"/>
        <v>0</v>
      </c>
      <c r="J35" s="819">
        <f t="shared" si="14"/>
        <v>0</v>
      </c>
      <c r="K35" s="819">
        <f t="shared" si="14"/>
        <v>0</v>
      </c>
      <c r="L35" s="819">
        <f t="shared" si="14"/>
        <v>0</v>
      </c>
      <c r="M35" s="819">
        <f t="shared" si="14"/>
        <v>0</v>
      </c>
      <c r="N35" s="819">
        <f t="shared" si="14"/>
        <v>0</v>
      </c>
    </row>
    <row r="36" spans="2:14" s="808" customFormat="1">
      <c r="B36" s="809">
        <v>3</v>
      </c>
      <c r="C36" s="818">
        <f t="shared" si="0"/>
        <v>0</v>
      </c>
      <c r="E36" s="817">
        <f t="shared" ref="E36:N36" si="15">cbalWobbler1R3</f>
        <v>0</v>
      </c>
      <c r="F36" s="817">
        <f t="shared" si="15"/>
        <v>0</v>
      </c>
      <c r="G36" s="817">
        <f t="shared" si="15"/>
        <v>0</v>
      </c>
      <c r="H36" s="817">
        <f t="shared" si="15"/>
        <v>0</v>
      </c>
      <c r="I36" s="817">
        <f t="shared" si="15"/>
        <v>0</v>
      </c>
      <c r="J36" s="817">
        <f t="shared" si="15"/>
        <v>0</v>
      </c>
      <c r="K36" s="817">
        <f t="shared" si="15"/>
        <v>0</v>
      </c>
      <c r="L36" s="817">
        <f t="shared" si="15"/>
        <v>0</v>
      </c>
      <c r="M36" s="817">
        <f t="shared" si="15"/>
        <v>0</v>
      </c>
      <c r="N36" s="817">
        <f t="shared" si="15"/>
        <v>0</v>
      </c>
    </row>
    <row r="37" spans="2:14" s="808" customFormat="1">
      <c r="B37" s="809">
        <v>3</v>
      </c>
      <c r="C37" s="818">
        <f t="shared" si="0"/>
        <v>0</v>
      </c>
      <c r="E37" s="817">
        <f t="shared" ref="E37:N37" si="16">cbalWobbler2R3</f>
        <v>0</v>
      </c>
      <c r="F37" s="817">
        <f t="shared" si="16"/>
        <v>0</v>
      </c>
      <c r="G37" s="817">
        <f t="shared" si="16"/>
        <v>0</v>
      </c>
      <c r="H37" s="817">
        <f t="shared" si="16"/>
        <v>0</v>
      </c>
      <c r="I37" s="817">
        <f t="shared" si="16"/>
        <v>0</v>
      </c>
      <c r="J37" s="817">
        <f t="shared" si="16"/>
        <v>0</v>
      </c>
      <c r="K37" s="817">
        <f t="shared" si="16"/>
        <v>0</v>
      </c>
      <c r="L37" s="817">
        <f t="shared" si="16"/>
        <v>0</v>
      </c>
      <c r="M37" s="817">
        <f t="shared" si="16"/>
        <v>0</v>
      </c>
      <c r="N37" s="817">
        <f t="shared" si="16"/>
        <v>0</v>
      </c>
    </row>
    <row r="38" spans="2:14" s="808" customFormat="1">
      <c r="B38" s="809">
        <v>3</v>
      </c>
      <c r="C38" s="818">
        <f t="shared" si="0"/>
        <v>0</v>
      </c>
      <c r="E38" s="817">
        <f t="shared" ref="E38:N38" si="17">cbalWobbler3R3</f>
        <v>0</v>
      </c>
      <c r="F38" s="817">
        <f t="shared" si="17"/>
        <v>0</v>
      </c>
      <c r="G38" s="817">
        <f t="shared" si="17"/>
        <v>0</v>
      </c>
      <c r="H38" s="817">
        <f t="shared" si="17"/>
        <v>0</v>
      </c>
      <c r="I38" s="817">
        <f t="shared" si="17"/>
        <v>0</v>
      </c>
      <c r="J38" s="817">
        <f t="shared" si="17"/>
        <v>0</v>
      </c>
      <c r="K38" s="817">
        <f t="shared" si="17"/>
        <v>0</v>
      </c>
      <c r="L38" s="817">
        <f t="shared" si="17"/>
        <v>0</v>
      </c>
      <c r="M38" s="817">
        <f t="shared" si="17"/>
        <v>0</v>
      </c>
      <c r="N38" s="817">
        <f t="shared" si="17"/>
        <v>0</v>
      </c>
    </row>
    <row r="39" spans="2:14" s="808" customFormat="1">
      <c r="B39" s="809">
        <v>3</v>
      </c>
      <c r="C39" s="818">
        <f t="shared" si="0"/>
        <v>0</v>
      </c>
      <c r="E39" s="817">
        <f t="shared" ref="E39:N39" si="18">cbalWobbler4R3</f>
        <v>0</v>
      </c>
      <c r="F39" s="817">
        <f t="shared" si="18"/>
        <v>0</v>
      </c>
      <c r="G39" s="817">
        <f t="shared" si="18"/>
        <v>0</v>
      </c>
      <c r="H39" s="817">
        <f t="shared" si="18"/>
        <v>0</v>
      </c>
      <c r="I39" s="817">
        <f t="shared" si="18"/>
        <v>0</v>
      </c>
      <c r="J39" s="817">
        <f t="shared" si="18"/>
        <v>0</v>
      </c>
      <c r="K39" s="817">
        <f t="shared" si="18"/>
        <v>0</v>
      </c>
      <c r="L39" s="817">
        <f t="shared" si="18"/>
        <v>0</v>
      </c>
      <c r="M39" s="817">
        <f t="shared" si="18"/>
        <v>0</v>
      </c>
      <c r="N39" s="817">
        <f t="shared" si="18"/>
        <v>0</v>
      </c>
    </row>
    <row r="40" spans="2:14" s="808" customFormat="1">
      <c r="B40" s="809">
        <v>3</v>
      </c>
      <c r="C40" s="818">
        <f t="shared" si="0"/>
        <v>0</v>
      </c>
      <c r="E40" s="817">
        <f t="shared" ref="E40:N40" si="19">cbalWobbler5R3</f>
        <v>0</v>
      </c>
      <c r="F40" s="817">
        <f t="shared" si="19"/>
        <v>0</v>
      </c>
      <c r="G40" s="817">
        <f t="shared" si="19"/>
        <v>0</v>
      </c>
      <c r="H40" s="817">
        <f t="shared" si="19"/>
        <v>0</v>
      </c>
      <c r="I40" s="817">
        <f t="shared" si="19"/>
        <v>0</v>
      </c>
      <c r="J40" s="817">
        <f t="shared" si="19"/>
        <v>0</v>
      </c>
      <c r="K40" s="817">
        <f t="shared" si="19"/>
        <v>0</v>
      </c>
      <c r="L40" s="817">
        <f t="shared" si="19"/>
        <v>0</v>
      </c>
      <c r="M40" s="817">
        <f t="shared" si="19"/>
        <v>0</v>
      </c>
      <c r="N40" s="817">
        <f t="shared" si="19"/>
        <v>0</v>
      </c>
    </row>
    <row r="41" spans="2:14" s="808" customFormat="1">
      <c r="B41" s="809">
        <v>3</v>
      </c>
      <c r="C41" s="818">
        <f t="shared" si="0"/>
        <v>0</v>
      </c>
      <c r="E41" s="817">
        <f t="shared" ref="E41:N41" si="20">cbalWobbler6R3</f>
        <v>0</v>
      </c>
      <c r="F41" s="817">
        <f t="shared" si="20"/>
        <v>0</v>
      </c>
      <c r="G41" s="817">
        <f t="shared" si="20"/>
        <v>0</v>
      </c>
      <c r="H41" s="817">
        <f t="shared" si="20"/>
        <v>0</v>
      </c>
      <c r="I41" s="817">
        <f t="shared" si="20"/>
        <v>0</v>
      </c>
      <c r="J41" s="817">
        <f t="shared" si="20"/>
        <v>0</v>
      </c>
      <c r="K41" s="817">
        <f t="shared" si="20"/>
        <v>0</v>
      </c>
      <c r="L41" s="817">
        <f t="shared" si="20"/>
        <v>0</v>
      </c>
      <c r="M41" s="817">
        <f t="shared" si="20"/>
        <v>0</v>
      </c>
      <c r="N41" s="817">
        <f t="shared" si="20"/>
        <v>0</v>
      </c>
    </row>
    <row r="42" spans="2:14" s="808" customFormat="1">
      <c r="B42" s="809">
        <v>3</v>
      </c>
      <c r="C42" s="818">
        <f t="shared" si="0"/>
        <v>0</v>
      </c>
      <c r="E42" s="817">
        <f t="shared" ref="E42:N42" si="21">cbalWobbler7R3</f>
        <v>0</v>
      </c>
      <c r="F42" s="817">
        <f t="shared" si="21"/>
        <v>0</v>
      </c>
      <c r="G42" s="817">
        <f t="shared" si="21"/>
        <v>0</v>
      </c>
      <c r="H42" s="817">
        <f t="shared" si="21"/>
        <v>0</v>
      </c>
      <c r="I42" s="817">
        <f t="shared" si="21"/>
        <v>0</v>
      </c>
      <c r="J42" s="817">
        <f t="shared" si="21"/>
        <v>0</v>
      </c>
      <c r="K42" s="817">
        <f t="shared" si="21"/>
        <v>0</v>
      </c>
      <c r="L42" s="817">
        <f t="shared" si="21"/>
        <v>0</v>
      </c>
      <c r="M42" s="817">
        <f t="shared" si="21"/>
        <v>0</v>
      </c>
      <c r="N42" s="817">
        <f t="shared" si="21"/>
        <v>0</v>
      </c>
    </row>
    <row r="43" spans="2:14" s="808" customFormat="1">
      <c r="B43" s="809"/>
      <c r="C43" s="809"/>
    </row>
    <row r="44" spans="2:14" s="814" customFormat="1" ht="21" customHeight="1">
      <c r="B44" s="816" t="s">
        <v>112</v>
      </c>
      <c r="E44" s="815"/>
      <c r="F44" s="815"/>
      <c r="G44" s="815"/>
      <c r="H44" s="815"/>
      <c r="I44" s="815"/>
    </row>
    <row r="45" spans="2:14" s="808" customFormat="1" ht="14.25" customHeight="1">
      <c r="E45" s="809"/>
    </row>
    <row r="46" spans="2:14" s="808" customFormat="1" ht="14.25" customHeight="1">
      <c r="D46" s="1306" t="s">
        <v>2358</v>
      </c>
      <c r="E46" s="809"/>
    </row>
    <row r="47" spans="2:14" s="808" customFormat="1" ht="14.25" customHeight="1">
      <c r="D47" s="1306"/>
      <c r="E47" s="809"/>
    </row>
    <row r="48" spans="2:14" s="808" customFormat="1" ht="14.25" customHeight="1">
      <c r="E48" s="809"/>
    </row>
    <row r="49" spans="2:14" s="808" customFormat="1" ht="14.25" customHeight="1"/>
    <row r="50" spans="2:14" s="808" customFormat="1" ht="7.5" customHeight="1">
      <c r="B50" s="811"/>
    </row>
    <row r="51" spans="2:14" s="808" customFormat="1" ht="14.25" customHeight="1">
      <c r="C51" s="811" t="s">
        <v>2355</v>
      </c>
      <c r="E51" s="811" t="s">
        <v>2357</v>
      </c>
    </row>
    <row r="52" spans="2:14" s="808" customFormat="1" ht="14.25" customHeight="1">
      <c r="C52" s="810" t="b">
        <v>0</v>
      </c>
      <c r="D52" s="807" t="str">
        <f>Popup_Wobbler!C63</f>
        <v>1A</v>
      </c>
      <c r="E52" s="813" t="b">
        <f t="shared" ref="E52:E83" si="22">COUNTIF(E$22:E$42,$D52)&gt;0</f>
        <v>0</v>
      </c>
      <c r="F52" s="813" t="b">
        <f t="shared" ref="F52:N67" si="23">COUNTIF(F$22:F$42,$D52)&gt;0</f>
        <v>0</v>
      </c>
      <c r="G52" s="813" t="b">
        <f t="shared" si="23"/>
        <v>0</v>
      </c>
      <c r="H52" s="813" t="b">
        <f t="shared" si="23"/>
        <v>0</v>
      </c>
      <c r="I52" s="813" t="b">
        <f t="shared" si="23"/>
        <v>0</v>
      </c>
      <c r="J52" s="813" t="b">
        <f t="shared" si="23"/>
        <v>0</v>
      </c>
      <c r="K52" s="813" t="b">
        <f t="shared" si="23"/>
        <v>0</v>
      </c>
      <c r="L52" s="813" t="b">
        <f t="shared" si="23"/>
        <v>0</v>
      </c>
      <c r="M52" s="813" t="b">
        <f t="shared" si="23"/>
        <v>0</v>
      </c>
      <c r="N52" s="813" t="b">
        <f t="shared" si="23"/>
        <v>0</v>
      </c>
    </row>
    <row r="53" spans="2:14" s="808" customFormat="1" ht="14.25" customHeight="1">
      <c r="C53" s="810" t="b">
        <f>IF(D53="-",TRUE,FALSE)</f>
        <v>0</v>
      </c>
      <c r="D53" s="807" t="str">
        <f>Popup_Wobbler!C64</f>
        <v>1B</v>
      </c>
      <c r="E53" s="813" t="b">
        <f t="shared" si="22"/>
        <v>0</v>
      </c>
      <c r="F53" s="813" t="b">
        <f t="shared" si="23"/>
        <v>0</v>
      </c>
      <c r="G53" s="813" t="b">
        <f t="shared" si="23"/>
        <v>0</v>
      </c>
      <c r="H53" s="813" t="b">
        <f t="shared" si="23"/>
        <v>0</v>
      </c>
      <c r="I53" s="813" t="b">
        <f t="shared" si="23"/>
        <v>0</v>
      </c>
      <c r="J53" s="813" t="b">
        <f t="shared" si="23"/>
        <v>0</v>
      </c>
      <c r="K53" s="813" t="b">
        <f t="shared" si="23"/>
        <v>0</v>
      </c>
      <c r="L53" s="813" t="b">
        <f t="shared" si="23"/>
        <v>0</v>
      </c>
      <c r="M53" s="813" t="b">
        <f t="shared" si="23"/>
        <v>0</v>
      </c>
      <c r="N53" s="813" t="b">
        <f t="shared" si="23"/>
        <v>0</v>
      </c>
    </row>
    <row r="54" spans="2:14" s="808" customFormat="1" ht="14.25" customHeight="1">
      <c r="C54" s="810" t="b">
        <f t="shared" ref="C54:C117" si="24">IF(D54="-",TRUE,FALSE)</f>
        <v>0</v>
      </c>
      <c r="D54" s="807" t="str">
        <f>Popup_Wobbler!C65</f>
        <v>2A</v>
      </c>
      <c r="E54" s="813" t="b">
        <f t="shared" si="22"/>
        <v>0</v>
      </c>
      <c r="F54" s="813" t="b">
        <f t="shared" si="23"/>
        <v>0</v>
      </c>
      <c r="G54" s="813" t="b">
        <f t="shared" si="23"/>
        <v>0</v>
      </c>
      <c r="H54" s="813" t="b">
        <f t="shared" si="23"/>
        <v>0</v>
      </c>
      <c r="I54" s="813" t="b">
        <f t="shared" si="23"/>
        <v>0</v>
      </c>
      <c r="J54" s="813" t="b">
        <f t="shared" si="23"/>
        <v>0</v>
      </c>
      <c r="K54" s="813" t="b">
        <f t="shared" si="23"/>
        <v>0</v>
      </c>
      <c r="L54" s="813" t="b">
        <f t="shared" si="23"/>
        <v>0</v>
      </c>
      <c r="M54" s="813" t="b">
        <f t="shared" si="23"/>
        <v>0</v>
      </c>
      <c r="N54" s="813" t="b">
        <f t="shared" si="23"/>
        <v>0</v>
      </c>
    </row>
    <row r="55" spans="2:14" s="808" customFormat="1" ht="14.25" customHeight="1">
      <c r="C55" s="810" t="b">
        <f t="shared" si="24"/>
        <v>0</v>
      </c>
      <c r="D55" s="807" t="str">
        <f>Popup_Wobbler!C66</f>
        <v>2B</v>
      </c>
      <c r="E55" s="813" t="b">
        <f t="shared" si="22"/>
        <v>0</v>
      </c>
      <c r="F55" s="813" t="b">
        <f t="shared" si="23"/>
        <v>0</v>
      </c>
      <c r="G55" s="813" t="b">
        <f t="shared" si="23"/>
        <v>0</v>
      </c>
      <c r="H55" s="813" t="b">
        <f t="shared" si="23"/>
        <v>0</v>
      </c>
      <c r="I55" s="813" t="b">
        <f t="shared" si="23"/>
        <v>0</v>
      </c>
      <c r="J55" s="813" t="b">
        <f t="shared" si="23"/>
        <v>0</v>
      </c>
      <c r="K55" s="813" t="b">
        <f t="shared" si="23"/>
        <v>0</v>
      </c>
      <c r="L55" s="813" t="b">
        <f t="shared" si="23"/>
        <v>0</v>
      </c>
      <c r="M55" s="813" t="b">
        <f t="shared" si="23"/>
        <v>0</v>
      </c>
      <c r="N55" s="813" t="b">
        <f t="shared" si="23"/>
        <v>0</v>
      </c>
    </row>
    <row r="56" spans="2:14" s="808" customFormat="1" ht="14.25" customHeight="1">
      <c r="C56" s="810" t="b">
        <f t="shared" si="24"/>
        <v>0</v>
      </c>
      <c r="D56" s="807" t="str">
        <f>Popup_Wobbler!C67</f>
        <v>2C</v>
      </c>
      <c r="E56" s="813" t="b">
        <f t="shared" si="22"/>
        <v>0</v>
      </c>
      <c r="F56" s="813" t="b">
        <f t="shared" si="23"/>
        <v>0</v>
      </c>
      <c r="G56" s="813" t="b">
        <f t="shared" si="23"/>
        <v>0</v>
      </c>
      <c r="H56" s="813" t="b">
        <f t="shared" si="23"/>
        <v>0</v>
      </c>
      <c r="I56" s="813" t="b">
        <f t="shared" si="23"/>
        <v>0</v>
      </c>
      <c r="J56" s="813" t="b">
        <f t="shared" si="23"/>
        <v>0</v>
      </c>
      <c r="K56" s="813" t="b">
        <f t="shared" si="23"/>
        <v>0</v>
      </c>
      <c r="L56" s="813" t="b">
        <f t="shared" si="23"/>
        <v>0</v>
      </c>
      <c r="M56" s="813" t="b">
        <f t="shared" si="23"/>
        <v>0</v>
      </c>
      <c r="N56" s="813" t="b">
        <f t="shared" si="23"/>
        <v>0</v>
      </c>
    </row>
    <row r="57" spans="2:14" s="808" customFormat="1" ht="13.8" customHeight="1">
      <c r="C57" s="810" t="b">
        <f t="shared" si="24"/>
        <v>0</v>
      </c>
      <c r="D57" s="807" t="str">
        <f>Popup_Wobbler!C68</f>
        <v>3A</v>
      </c>
      <c r="E57" s="813" t="b">
        <f t="shared" si="22"/>
        <v>0</v>
      </c>
      <c r="F57" s="813" t="b">
        <f t="shared" si="23"/>
        <v>0</v>
      </c>
      <c r="G57" s="813" t="b">
        <f t="shared" si="23"/>
        <v>0</v>
      </c>
      <c r="H57" s="813" t="b">
        <f t="shared" si="23"/>
        <v>0</v>
      </c>
      <c r="I57" s="813" t="b">
        <f t="shared" si="23"/>
        <v>0</v>
      </c>
      <c r="J57" s="813" t="b">
        <f t="shared" si="23"/>
        <v>0</v>
      </c>
      <c r="K57" s="813" t="b">
        <f t="shared" si="23"/>
        <v>0</v>
      </c>
      <c r="L57" s="813" t="b">
        <f t="shared" si="23"/>
        <v>0</v>
      </c>
      <c r="M57" s="813" t="b">
        <f t="shared" si="23"/>
        <v>0</v>
      </c>
      <c r="N57" s="813" t="b">
        <f t="shared" si="23"/>
        <v>0</v>
      </c>
    </row>
    <row r="58" spans="2:14" s="808" customFormat="1" ht="14.25" customHeight="1">
      <c r="C58" s="810" t="b">
        <f t="shared" si="24"/>
        <v>0</v>
      </c>
      <c r="D58" s="807" t="str">
        <f>Popup_Wobbler!C69</f>
        <v>3B</v>
      </c>
      <c r="E58" s="813" t="b">
        <f t="shared" si="22"/>
        <v>0</v>
      </c>
      <c r="F58" s="813" t="b">
        <f t="shared" si="23"/>
        <v>0</v>
      </c>
      <c r="G58" s="813" t="b">
        <f t="shared" si="23"/>
        <v>0</v>
      </c>
      <c r="H58" s="813" t="b">
        <f t="shared" si="23"/>
        <v>0</v>
      </c>
      <c r="I58" s="813" t="b">
        <f t="shared" si="23"/>
        <v>0</v>
      </c>
      <c r="J58" s="813" t="b">
        <f t="shared" si="23"/>
        <v>0</v>
      </c>
      <c r="K58" s="813" t="b">
        <f t="shared" si="23"/>
        <v>0</v>
      </c>
      <c r="L58" s="813" t="b">
        <f t="shared" si="23"/>
        <v>0</v>
      </c>
      <c r="M58" s="813" t="b">
        <f t="shared" si="23"/>
        <v>0</v>
      </c>
      <c r="N58" s="813" t="b">
        <f t="shared" si="23"/>
        <v>0</v>
      </c>
    </row>
    <row r="59" spans="2:14" s="808" customFormat="1" ht="14.25" hidden="1" customHeight="1">
      <c r="C59" s="810" t="b">
        <f t="shared" si="24"/>
        <v>1</v>
      </c>
      <c r="D59" s="807" t="str">
        <f>Popup_Wobbler!C70</f>
        <v>-</v>
      </c>
      <c r="E59" s="813" t="b">
        <f t="shared" si="22"/>
        <v>0</v>
      </c>
      <c r="F59" s="813" t="b">
        <f t="shared" si="23"/>
        <v>0</v>
      </c>
      <c r="G59" s="813" t="b">
        <f t="shared" si="23"/>
        <v>0</v>
      </c>
      <c r="H59" s="813" t="b">
        <f t="shared" si="23"/>
        <v>0</v>
      </c>
      <c r="I59" s="813" t="b">
        <f t="shared" si="23"/>
        <v>0</v>
      </c>
      <c r="J59" s="813" t="b">
        <f t="shared" si="23"/>
        <v>0</v>
      </c>
      <c r="K59" s="813" t="b">
        <f t="shared" si="23"/>
        <v>0</v>
      </c>
      <c r="L59" s="813" t="b">
        <f t="shared" si="23"/>
        <v>0</v>
      </c>
      <c r="M59" s="813" t="b">
        <f t="shared" si="23"/>
        <v>0</v>
      </c>
      <c r="N59" s="813" t="b">
        <f t="shared" si="23"/>
        <v>0</v>
      </c>
    </row>
    <row r="60" spans="2:14" s="808" customFormat="1" ht="14.25" hidden="1" customHeight="1">
      <c r="C60" s="810" t="b">
        <f t="shared" si="24"/>
        <v>1</v>
      </c>
      <c r="D60" s="807" t="str">
        <f>Popup_Wobbler!C71</f>
        <v>-</v>
      </c>
      <c r="E60" s="813" t="b">
        <f t="shared" si="22"/>
        <v>0</v>
      </c>
      <c r="F60" s="813" t="b">
        <f t="shared" si="23"/>
        <v>0</v>
      </c>
      <c r="G60" s="813" t="b">
        <f t="shared" si="23"/>
        <v>0</v>
      </c>
      <c r="H60" s="813" t="b">
        <f t="shared" si="23"/>
        <v>0</v>
      </c>
      <c r="I60" s="813" t="b">
        <f t="shared" si="23"/>
        <v>0</v>
      </c>
      <c r="J60" s="813" t="b">
        <f t="shared" si="23"/>
        <v>0</v>
      </c>
      <c r="K60" s="813" t="b">
        <f t="shared" si="23"/>
        <v>0</v>
      </c>
      <c r="L60" s="813" t="b">
        <f t="shared" si="23"/>
        <v>0</v>
      </c>
      <c r="M60" s="813" t="b">
        <f t="shared" si="23"/>
        <v>0</v>
      </c>
      <c r="N60" s="813" t="b">
        <f t="shared" si="23"/>
        <v>0</v>
      </c>
    </row>
    <row r="61" spans="2:14" s="808" customFormat="1" ht="14.25" hidden="1" customHeight="1">
      <c r="C61" s="810" t="b">
        <f t="shared" si="24"/>
        <v>1</v>
      </c>
      <c r="D61" s="807" t="str">
        <f>Popup_Wobbler!C72</f>
        <v>-</v>
      </c>
      <c r="E61" s="813" t="b">
        <f t="shared" si="22"/>
        <v>0</v>
      </c>
      <c r="F61" s="813" t="b">
        <f t="shared" si="23"/>
        <v>0</v>
      </c>
      <c r="G61" s="813" t="b">
        <f t="shared" si="23"/>
        <v>0</v>
      </c>
      <c r="H61" s="813" t="b">
        <f t="shared" si="23"/>
        <v>0</v>
      </c>
      <c r="I61" s="813" t="b">
        <f t="shared" si="23"/>
        <v>0</v>
      </c>
      <c r="J61" s="813" t="b">
        <f t="shared" si="23"/>
        <v>0</v>
      </c>
      <c r="K61" s="813" t="b">
        <f t="shared" si="23"/>
        <v>0</v>
      </c>
      <c r="L61" s="813" t="b">
        <f t="shared" si="23"/>
        <v>0</v>
      </c>
      <c r="M61" s="813" t="b">
        <f t="shared" si="23"/>
        <v>0</v>
      </c>
      <c r="N61" s="813" t="b">
        <f t="shared" si="23"/>
        <v>0</v>
      </c>
    </row>
    <row r="62" spans="2:14" s="808" customFormat="1" ht="14.25" hidden="1" customHeight="1">
      <c r="C62" s="810" t="b">
        <f t="shared" si="24"/>
        <v>1</v>
      </c>
      <c r="D62" s="807" t="str">
        <f>Popup_Wobbler!C73</f>
        <v>-</v>
      </c>
      <c r="E62" s="813" t="b">
        <f t="shared" si="22"/>
        <v>0</v>
      </c>
      <c r="F62" s="813" t="b">
        <f t="shared" si="23"/>
        <v>0</v>
      </c>
      <c r="G62" s="813" t="b">
        <f t="shared" si="23"/>
        <v>0</v>
      </c>
      <c r="H62" s="813" t="b">
        <f t="shared" si="23"/>
        <v>0</v>
      </c>
      <c r="I62" s="813" t="b">
        <f t="shared" si="23"/>
        <v>0</v>
      </c>
      <c r="J62" s="813" t="b">
        <f t="shared" si="23"/>
        <v>0</v>
      </c>
      <c r="K62" s="813" t="b">
        <f t="shared" si="23"/>
        <v>0</v>
      </c>
      <c r="L62" s="813" t="b">
        <f t="shared" si="23"/>
        <v>0</v>
      </c>
      <c r="M62" s="813" t="b">
        <f t="shared" si="23"/>
        <v>0</v>
      </c>
      <c r="N62" s="813" t="b">
        <f t="shared" si="23"/>
        <v>0</v>
      </c>
    </row>
    <row r="63" spans="2:14" s="808" customFormat="1" ht="14.25" hidden="1" customHeight="1">
      <c r="C63" s="810" t="b">
        <f t="shared" si="24"/>
        <v>1</v>
      </c>
      <c r="D63" s="807" t="str">
        <f>Popup_Wobbler!C74</f>
        <v>-</v>
      </c>
      <c r="E63" s="813" t="b">
        <f t="shared" si="22"/>
        <v>0</v>
      </c>
      <c r="F63" s="813" t="b">
        <f t="shared" si="23"/>
        <v>0</v>
      </c>
      <c r="G63" s="813" t="b">
        <f t="shared" si="23"/>
        <v>0</v>
      </c>
      <c r="H63" s="813" t="b">
        <f t="shared" si="23"/>
        <v>0</v>
      </c>
      <c r="I63" s="813" t="b">
        <f t="shared" si="23"/>
        <v>0</v>
      </c>
      <c r="J63" s="813" t="b">
        <f t="shared" si="23"/>
        <v>0</v>
      </c>
      <c r="K63" s="813" t="b">
        <f t="shared" si="23"/>
        <v>0</v>
      </c>
      <c r="L63" s="813" t="b">
        <f t="shared" si="23"/>
        <v>0</v>
      </c>
      <c r="M63" s="813" t="b">
        <f t="shared" si="23"/>
        <v>0</v>
      </c>
      <c r="N63" s="813" t="b">
        <f t="shared" si="23"/>
        <v>0</v>
      </c>
    </row>
    <row r="64" spans="2:14" s="808" customFormat="1" ht="14.25" hidden="1" customHeight="1">
      <c r="C64" s="810" t="b">
        <f t="shared" si="24"/>
        <v>1</v>
      </c>
      <c r="D64" s="807" t="str">
        <f>Popup_Wobbler!C75</f>
        <v>-</v>
      </c>
      <c r="E64" s="813" t="b">
        <f t="shared" si="22"/>
        <v>0</v>
      </c>
      <c r="F64" s="813" t="b">
        <f t="shared" si="23"/>
        <v>0</v>
      </c>
      <c r="G64" s="813" t="b">
        <f t="shared" si="23"/>
        <v>0</v>
      </c>
      <c r="H64" s="813" t="b">
        <f t="shared" si="23"/>
        <v>0</v>
      </c>
      <c r="I64" s="813" t="b">
        <f t="shared" si="23"/>
        <v>0</v>
      </c>
      <c r="J64" s="813" t="b">
        <f t="shared" si="23"/>
        <v>0</v>
      </c>
      <c r="K64" s="813" t="b">
        <f t="shared" si="23"/>
        <v>0</v>
      </c>
      <c r="L64" s="813" t="b">
        <f t="shared" si="23"/>
        <v>0</v>
      </c>
      <c r="M64" s="813" t="b">
        <f t="shared" si="23"/>
        <v>0</v>
      </c>
      <c r="N64" s="813" t="b">
        <f t="shared" si="23"/>
        <v>0</v>
      </c>
    </row>
    <row r="65" spans="3:14" s="808" customFormat="1" ht="14.25" hidden="1" customHeight="1">
      <c r="C65" s="810" t="b">
        <f t="shared" si="24"/>
        <v>1</v>
      </c>
      <c r="D65" s="807" t="str">
        <f>Popup_Wobbler!C76</f>
        <v>-</v>
      </c>
      <c r="E65" s="813" t="b">
        <f t="shared" si="22"/>
        <v>0</v>
      </c>
      <c r="F65" s="813" t="b">
        <f t="shared" si="23"/>
        <v>0</v>
      </c>
      <c r="G65" s="813" t="b">
        <f t="shared" si="23"/>
        <v>0</v>
      </c>
      <c r="H65" s="813" t="b">
        <f t="shared" si="23"/>
        <v>0</v>
      </c>
      <c r="I65" s="813" t="b">
        <f t="shared" si="23"/>
        <v>0</v>
      </c>
      <c r="J65" s="813" t="b">
        <f t="shared" si="23"/>
        <v>0</v>
      </c>
      <c r="K65" s="813" t="b">
        <f t="shared" si="23"/>
        <v>0</v>
      </c>
      <c r="L65" s="813" t="b">
        <f t="shared" si="23"/>
        <v>0</v>
      </c>
      <c r="M65" s="813" t="b">
        <f t="shared" si="23"/>
        <v>0</v>
      </c>
      <c r="N65" s="813" t="b">
        <f t="shared" si="23"/>
        <v>0</v>
      </c>
    </row>
    <row r="66" spans="3:14" s="808" customFormat="1" ht="14.25" hidden="1" customHeight="1">
      <c r="C66" s="810" t="b">
        <f t="shared" si="24"/>
        <v>1</v>
      </c>
      <c r="D66" s="807" t="str">
        <f>Popup_Wobbler!C77</f>
        <v>-</v>
      </c>
      <c r="E66" s="813" t="b">
        <f t="shared" si="22"/>
        <v>0</v>
      </c>
      <c r="F66" s="813" t="b">
        <f t="shared" si="23"/>
        <v>0</v>
      </c>
      <c r="G66" s="813" t="b">
        <f t="shared" si="23"/>
        <v>0</v>
      </c>
      <c r="H66" s="813" t="b">
        <f t="shared" si="23"/>
        <v>0</v>
      </c>
      <c r="I66" s="813" t="b">
        <f t="shared" si="23"/>
        <v>0</v>
      </c>
      <c r="J66" s="813" t="b">
        <f t="shared" si="23"/>
        <v>0</v>
      </c>
      <c r="K66" s="813" t="b">
        <f t="shared" si="23"/>
        <v>0</v>
      </c>
      <c r="L66" s="813" t="b">
        <f t="shared" si="23"/>
        <v>0</v>
      </c>
      <c r="M66" s="813" t="b">
        <f t="shared" si="23"/>
        <v>0</v>
      </c>
      <c r="N66" s="813" t="b">
        <f t="shared" si="23"/>
        <v>0</v>
      </c>
    </row>
    <row r="67" spans="3:14" s="808" customFormat="1" ht="14.25" hidden="1" customHeight="1">
      <c r="C67" s="810" t="b">
        <f t="shared" si="24"/>
        <v>1</v>
      </c>
      <c r="D67" s="807" t="str">
        <f>Popup_Wobbler!C78</f>
        <v>-</v>
      </c>
      <c r="E67" s="813" t="b">
        <f t="shared" si="22"/>
        <v>0</v>
      </c>
      <c r="F67" s="813" t="b">
        <f t="shared" si="23"/>
        <v>0</v>
      </c>
      <c r="G67" s="813" t="b">
        <f t="shared" si="23"/>
        <v>0</v>
      </c>
      <c r="H67" s="813" t="b">
        <f t="shared" si="23"/>
        <v>0</v>
      </c>
      <c r="I67" s="813" t="b">
        <f t="shared" si="23"/>
        <v>0</v>
      </c>
      <c r="J67" s="813" t="b">
        <f t="shared" si="23"/>
        <v>0</v>
      </c>
      <c r="K67" s="813" t="b">
        <f t="shared" si="23"/>
        <v>0</v>
      </c>
      <c r="L67" s="813" t="b">
        <f t="shared" si="23"/>
        <v>0</v>
      </c>
      <c r="M67" s="813" t="b">
        <f t="shared" si="23"/>
        <v>0</v>
      </c>
      <c r="N67" s="813" t="b">
        <f t="shared" si="23"/>
        <v>0</v>
      </c>
    </row>
    <row r="68" spans="3:14" s="808" customFormat="1" ht="14.25" hidden="1" customHeight="1">
      <c r="C68" s="810" t="b">
        <f t="shared" si="24"/>
        <v>1</v>
      </c>
      <c r="D68" s="807" t="str">
        <f>Popup_Wobbler!C79</f>
        <v>-</v>
      </c>
      <c r="E68" s="813" t="b">
        <f t="shared" si="22"/>
        <v>0</v>
      </c>
      <c r="F68" s="813" t="b">
        <f t="shared" ref="F68:N83" si="25">COUNTIF(F$22:F$42,$D68)&gt;0</f>
        <v>0</v>
      </c>
      <c r="G68" s="813" t="b">
        <f t="shared" si="25"/>
        <v>0</v>
      </c>
      <c r="H68" s="813" t="b">
        <f t="shared" si="25"/>
        <v>0</v>
      </c>
      <c r="I68" s="813" t="b">
        <f t="shared" si="25"/>
        <v>0</v>
      </c>
      <c r="J68" s="813" t="b">
        <f t="shared" si="25"/>
        <v>0</v>
      </c>
      <c r="K68" s="813" t="b">
        <f t="shared" si="25"/>
        <v>0</v>
      </c>
      <c r="L68" s="813" t="b">
        <f t="shared" si="25"/>
        <v>0</v>
      </c>
      <c r="M68" s="813" t="b">
        <f t="shared" si="25"/>
        <v>0</v>
      </c>
      <c r="N68" s="813" t="b">
        <f t="shared" si="25"/>
        <v>0</v>
      </c>
    </row>
    <row r="69" spans="3:14" s="808" customFormat="1" ht="14.25" hidden="1" customHeight="1">
      <c r="C69" s="810" t="b">
        <f t="shared" si="24"/>
        <v>1</v>
      </c>
      <c r="D69" s="807" t="str">
        <f>Popup_Wobbler!C80</f>
        <v>-</v>
      </c>
      <c r="E69" s="813" t="b">
        <f t="shared" si="22"/>
        <v>0</v>
      </c>
      <c r="F69" s="813" t="b">
        <f t="shared" si="25"/>
        <v>0</v>
      </c>
      <c r="G69" s="813" t="b">
        <f t="shared" si="25"/>
        <v>0</v>
      </c>
      <c r="H69" s="813" t="b">
        <f t="shared" si="25"/>
        <v>0</v>
      </c>
      <c r="I69" s="813" t="b">
        <f t="shared" si="25"/>
        <v>0</v>
      </c>
      <c r="J69" s="813" t="b">
        <f t="shared" si="25"/>
        <v>0</v>
      </c>
      <c r="K69" s="813" t="b">
        <f t="shared" si="25"/>
        <v>0</v>
      </c>
      <c r="L69" s="813" t="b">
        <f t="shared" si="25"/>
        <v>0</v>
      </c>
      <c r="M69" s="813" t="b">
        <f t="shared" si="25"/>
        <v>0</v>
      </c>
      <c r="N69" s="813" t="b">
        <f t="shared" si="25"/>
        <v>0</v>
      </c>
    </row>
    <row r="70" spans="3:14" s="808" customFormat="1" ht="14.25" hidden="1" customHeight="1">
      <c r="C70" s="810" t="b">
        <f t="shared" si="24"/>
        <v>1</v>
      </c>
      <c r="D70" s="807" t="str">
        <f>Popup_Wobbler!C81</f>
        <v>-</v>
      </c>
      <c r="E70" s="813" t="b">
        <f t="shared" si="22"/>
        <v>0</v>
      </c>
      <c r="F70" s="813" t="b">
        <f t="shared" si="25"/>
        <v>0</v>
      </c>
      <c r="G70" s="813" t="b">
        <f t="shared" si="25"/>
        <v>0</v>
      </c>
      <c r="H70" s="813" t="b">
        <f t="shared" si="25"/>
        <v>0</v>
      </c>
      <c r="I70" s="813" t="b">
        <f t="shared" si="25"/>
        <v>0</v>
      </c>
      <c r="J70" s="813" t="b">
        <f t="shared" si="25"/>
        <v>0</v>
      </c>
      <c r="K70" s="813" t="b">
        <f t="shared" si="25"/>
        <v>0</v>
      </c>
      <c r="L70" s="813" t="b">
        <f t="shared" si="25"/>
        <v>0</v>
      </c>
      <c r="M70" s="813" t="b">
        <f t="shared" si="25"/>
        <v>0</v>
      </c>
      <c r="N70" s="813" t="b">
        <f t="shared" si="25"/>
        <v>0</v>
      </c>
    </row>
    <row r="71" spans="3:14" s="808" customFormat="1" ht="14.25" hidden="1" customHeight="1">
      <c r="C71" s="810" t="b">
        <f t="shared" si="24"/>
        <v>1</v>
      </c>
      <c r="D71" s="807" t="str">
        <f>Popup_Wobbler!C82</f>
        <v>-</v>
      </c>
      <c r="E71" s="813" t="b">
        <f t="shared" si="22"/>
        <v>0</v>
      </c>
      <c r="F71" s="813" t="b">
        <f t="shared" si="25"/>
        <v>0</v>
      </c>
      <c r="G71" s="813" t="b">
        <f t="shared" si="25"/>
        <v>0</v>
      </c>
      <c r="H71" s="813" t="b">
        <f t="shared" si="25"/>
        <v>0</v>
      </c>
      <c r="I71" s="813" t="b">
        <f t="shared" si="25"/>
        <v>0</v>
      </c>
      <c r="J71" s="813" t="b">
        <f t="shared" si="25"/>
        <v>0</v>
      </c>
      <c r="K71" s="813" t="b">
        <f t="shared" si="25"/>
        <v>0</v>
      </c>
      <c r="L71" s="813" t="b">
        <f t="shared" si="25"/>
        <v>0</v>
      </c>
      <c r="M71" s="813" t="b">
        <f t="shared" si="25"/>
        <v>0</v>
      </c>
      <c r="N71" s="813" t="b">
        <f t="shared" si="25"/>
        <v>0</v>
      </c>
    </row>
    <row r="72" spans="3:14" s="808" customFormat="1" ht="14.25" hidden="1" customHeight="1">
      <c r="C72" s="810" t="b">
        <f t="shared" si="24"/>
        <v>1</v>
      </c>
      <c r="D72" s="807" t="str">
        <f>Popup_Wobbler!C83</f>
        <v>-</v>
      </c>
      <c r="E72" s="813" t="b">
        <f t="shared" si="22"/>
        <v>0</v>
      </c>
      <c r="F72" s="813" t="b">
        <f t="shared" si="25"/>
        <v>0</v>
      </c>
      <c r="G72" s="813" t="b">
        <f t="shared" si="25"/>
        <v>0</v>
      </c>
      <c r="H72" s="813" t="b">
        <f t="shared" si="25"/>
        <v>0</v>
      </c>
      <c r="I72" s="813" t="b">
        <f t="shared" si="25"/>
        <v>0</v>
      </c>
      <c r="J72" s="813" t="b">
        <f t="shared" si="25"/>
        <v>0</v>
      </c>
      <c r="K72" s="813" t="b">
        <f t="shared" si="25"/>
        <v>0</v>
      </c>
      <c r="L72" s="813" t="b">
        <f t="shared" si="25"/>
        <v>0</v>
      </c>
      <c r="M72" s="813" t="b">
        <f t="shared" si="25"/>
        <v>0</v>
      </c>
      <c r="N72" s="813" t="b">
        <f t="shared" si="25"/>
        <v>0</v>
      </c>
    </row>
    <row r="73" spans="3:14" s="808" customFormat="1" ht="14.25" hidden="1" customHeight="1">
      <c r="C73" s="810" t="b">
        <f t="shared" si="24"/>
        <v>1</v>
      </c>
      <c r="D73" s="807" t="str">
        <f>Popup_Wobbler!C84</f>
        <v>-</v>
      </c>
      <c r="E73" s="813" t="b">
        <f t="shared" si="22"/>
        <v>0</v>
      </c>
      <c r="F73" s="813" t="b">
        <f t="shared" si="25"/>
        <v>0</v>
      </c>
      <c r="G73" s="813" t="b">
        <f t="shared" si="25"/>
        <v>0</v>
      </c>
      <c r="H73" s="813" t="b">
        <f t="shared" si="25"/>
        <v>0</v>
      </c>
      <c r="I73" s="813" t="b">
        <f t="shared" si="25"/>
        <v>0</v>
      </c>
      <c r="J73" s="813" t="b">
        <f t="shared" si="25"/>
        <v>0</v>
      </c>
      <c r="K73" s="813" t="b">
        <f t="shared" si="25"/>
        <v>0</v>
      </c>
      <c r="L73" s="813" t="b">
        <f t="shared" si="25"/>
        <v>0</v>
      </c>
      <c r="M73" s="813" t="b">
        <f t="shared" si="25"/>
        <v>0</v>
      </c>
      <c r="N73" s="813" t="b">
        <f t="shared" si="25"/>
        <v>0</v>
      </c>
    </row>
    <row r="74" spans="3:14" s="808" customFormat="1" ht="14.25" hidden="1" customHeight="1">
      <c r="C74" s="810" t="b">
        <f t="shared" si="24"/>
        <v>1</v>
      </c>
      <c r="D74" s="807" t="str">
        <f>Popup_Wobbler!C85</f>
        <v>-</v>
      </c>
      <c r="E74" s="813" t="b">
        <f t="shared" si="22"/>
        <v>0</v>
      </c>
      <c r="F74" s="813" t="b">
        <f t="shared" si="25"/>
        <v>0</v>
      </c>
      <c r="G74" s="813" t="b">
        <f t="shared" si="25"/>
        <v>0</v>
      </c>
      <c r="H74" s="813" t="b">
        <f t="shared" si="25"/>
        <v>0</v>
      </c>
      <c r="I74" s="813" t="b">
        <f t="shared" si="25"/>
        <v>0</v>
      </c>
      <c r="J74" s="813" t="b">
        <f t="shared" si="25"/>
        <v>0</v>
      </c>
      <c r="K74" s="813" t="b">
        <f t="shared" si="25"/>
        <v>0</v>
      </c>
      <c r="L74" s="813" t="b">
        <f t="shared" si="25"/>
        <v>0</v>
      </c>
      <c r="M74" s="813" t="b">
        <f t="shared" si="25"/>
        <v>0</v>
      </c>
      <c r="N74" s="813" t="b">
        <f t="shared" si="25"/>
        <v>0</v>
      </c>
    </row>
    <row r="75" spans="3:14" s="808" customFormat="1" ht="14.25" hidden="1" customHeight="1">
      <c r="C75" s="810" t="b">
        <f t="shared" si="24"/>
        <v>1</v>
      </c>
      <c r="D75" s="807" t="str">
        <f>Popup_Wobbler!C86</f>
        <v>-</v>
      </c>
      <c r="E75" s="813" t="b">
        <f t="shared" si="22"/>
        <v>0</v>
      </c>
      <c r="F75" s="813" t="b">
        <f t="shared" si="25"/>
        <v>0</v>
      </c>
      <c r="G75" s="813" t="b">
        <f t="shared" si="25"/>
        <v>0</v>
      </c>
      <c r="H75" s="813" t="b">
        <f t="shared" si="25"/>
        <v>0</v>
      </c>
      <c r="I75" s="813" t="b">
        <f t="shared" si="25"/>
        <v>0</v>
      </c>
      <c r="J75" s="813" t="b">
        <f t="shared" si="25"/>
        <v>0</v>
      </c>
      <c r="K75" s="813" t="b">
        <f t="shared" si="25"/>
        <v>0</v>
      </c>
      <c r="L75" s="813" t="b">
        <f t="shared" si="25"/>
        <v>0</v>
      </c>
      <c r="M75" s="813" t="b">
        <f t="shared" si="25"/>
        <v>0</v>
      </c>
      <c r="N75" s="813" t="b">
        <f t="shared" si="25"/>
        <v>0</v>
      </c>
    </row>
    <row r="76" spans="3:14" s="808" customFormat="1" ht="14.25" hidden="1" customHeight="1">
      <c r="C76" s="810" t="b">
        <f t="shared" si="24"/>
        <v>1</v>
      </c>
      <c r="D76" s="807" t="str">
        <f>Popup_Wobbler!C87</f>
        <v>-</v>
      </c>
      <c r="E76" s="813" t="b">
        <f t="shared" si="22"/>
        <v>0</v>
      </c>
      <c r="F76" s="813" t="b">
        <f t="shared" si="25"/>
        <v>0</v>
      </c>
      <c r="G76" s="813" t="b">
        <f t="shared" si="25"/>
        <v>0</v>
      </c>
      <c r="H76" s="813" t="b">
        <f t="shared" si="25"/>
        <v>0</v>
      </c>
      <c r="I76" s="813" t="b">
        <f t="shared" si="25"/>
        <v>0</v>
      </c>
      <c r="J76" s="813" t="b">
        <f t="shared" si="25"/>
        <v>0</v>
      </c>
      <c r="K76" s="813" t="b">
        <f t="shared" si="25"/>
        <v>0</v>
      </c>
      <c r="L76" s="813" t="b">
        <f t="shared" si="25"/>
        <v>0</v>
      </c>
      <c r="M76" s="813" t="b">
        <f t="shared" si="25"/>
        <v>0</v>
      </c>
      <c r="N76" s="813" t="b">
        <f t="shared" si="25"/>
        <v>0</v>
      </c>
    </row>
    <row r="77" spans="3:14" s="808" customFormat="1" ht="14.25" hidden="1" customHeight="1">
      <c r="C77" s="810" t="b">
        <f t="shared" si="24"/>
        <v>1</v>
      </c>
      <c r="D77" s="807" t="str">
        <f>Popup_Wobbler!C88</f>
        <v>-</v>
      </c>
      <c r="E77" s="813" t="b">
        <f t="shared" si="22"/>
        <v>0</v>
      </c>
      <c r="F77" s="813" t="b">
        <f t="shared" si="25"/>
        <v>0</v>
      </c>
      <c r="G77" s="813" t="b">
        <f t="shared" si="25"/>
        <v>0</v>
      </c>
      <c r="H77" s="813" t="b">
        <f t="shared" si="25"/>
        <v>0</v>
      </c>
      <c r="I77" s="813" t="b">
        <f t="shared" si="25"/>
        <v>0</v>
      </c>
      <c r="J77" s="813" t="b">
        <f t="shared" si="25"/>
        <v>0</v>
      </c>
      <c r="K77" s="813" t="b">
        <f t="shared" si="25"/>
        <v>0</v>
      </c>
      <c r="L77" s="813" t="b">
        <f t="shared" si="25"/>
        <v>0</v>
      </c>
      <c r="M77" s="813" t="b">
        <f t="shared" si="25"/>
        <v>0</v>
      </c>
      <c r="N77" s="813" t="b">
        <f t="shared" si="25"/>
        <v>0</v>
      </c>
    </row>
    <row r="78" spans="3:14" s="808" customFormat="1" ht="14.25" hidden="1" customHeight="1">
      <c r="C78" s="810" t="b">
        <f t="shared" si="24"/>
        <v>1</v>
      </c>
      <c r="D78" s="807" t="str">
        <f>Popup_Wobbler!C89</f>
        <v>-</v>
      </c>
      <c r="E78" s="813" t="b">
        <f t="shared" si="22"/>
        <v>0</v>
      </c>
      <c r="F78" s="813" t="b">
        <f t="shared" si="25"/>
        <v>0</v>
      </c>
      <c r="G78" s="813" t="b">
        <f t="shared" si="25"/>
        <v>0</v>
      </c>
      <c r="H78" s="813" t="b">
        <f t="shared" si="25"/>
        <v>0</v>
      </c>
      <c r="I78" s="813" t="b">
        <f t="shared" si="25"/>
        <v>0</v>
      </c>
      <c r="J78" s="813" t="b">
        <f t="shared" si="25"/>
        <v>0</v>
      </c>
      <c r="K78" s="813" t="b">
        <f t="shared" si="25"/>
        <v>0</v>
      </c>
      <c r="L78" s="813" t="b">
        <f t="shared" si="25"/>
        <v>0</v>
      </c>
      <c r="M78" s="813" t="b">
        <f t="shared" si="25"/>
        <v>0</v>
      </c>
      <c r="N78" s="813" t="b">
        <f t="shared" si="25"/>
        <v>0</v>
      </c>
    </row>
    <row r="79" spans="3:14" s="808" customFormat="1" ht="14.25" hidden="1" customHeight="1">
      <c r="C79" s="810" t="b">
        <f t="shared" si="24"/>
        <v>1</v>
      </c>
      <c r="D79" s="807" t="str">
        <f>Popup_Wobbler!C90</f>
        <v>-</v>
      </c>
      <c r="E79" s="813" t="b">
        <f t="shared" si="22"/>
        <v>0</v>
      </c>
      <c r="F79" s="813" t="b">
        <f t="shared" si="25"/>
        <v>0</v>
      </c>
      <c r="G79" s="813" t="b">
        <f t="shared" si="25"/>
        <v>0</v>
      </c>
      <c r="H79" s="813" t="b">
        <f t="shared" si="25"/>
        <v>0</v>
      </c>
      <c r="I79" s="813" t="b">
        <f t="shared" si="25"/>
        <v>0</v>
      </c>
      <c r="J79" s="813" t="b">
        <f t="shared" si="25"/>
        <v>0</v>
      </c>
      <c r="K79" s="813" t="b">
        <f t="shared" si="25"/>
        <v>0</v>
      </c>
      <c r="L79" s="813" t="b">
        <f t="shared" si="25"/>
        <v>0</v>
      </c>
      <c r="M79" s="813" t="b">
        <f t="shared" si="25"/>
        <v>0</v>
      </c>
      <c r="N79" s="813" t="b">
        <f t="shared" si="25"/>
        <v>0</v>
      </c>
    </row>
    <row r="80" spans="3:14" s="808" customFormat="1" ht="14.25" hidden="1" customHeight="1">
      <c r="C80" s="810" t="b">
        <f t="shared" si="24"/>
        <v>1</v>
      </c>
      <c r="D80" s="807" t="str">
        <f>Popup_Wobbler!C91</f>
        <v>-</v>
      </c>
      <c r="E80" s="813" t="b">
        <f t="shared" si="22"/>
        <v>0</v>
      </c>
      <c r="F80" s="813" t="b">
        <f t="shared" si="25"/>
        <v>0</v>
      </c>
      <c r="G80" s="813" t="b">
        <f t="shared" si="25"/>
        <v>0</v>
      </c>
      <c r="H80" s="813" t="b">
        <f t="shared" si="25"/>
        <v>0</v>
      </c>
      <c r="I80" s="813" t="b">
        <f t="shared" si="25"/>
        <v>0</v>
      </c>
      <c r="J80" s="813" t="b">
        <f t="shared" si="25"/>
        <v>0</v>
      </c>
      <c r="K80" s="813" t="b">
        <f t="shared" si="25"/>
        <v>0</v>
      </c>
      <c r="L80" s="813" t="b">
        <f t="shared" si="25"/>
        <v>0</v>
      </c>
      <c r="M80" s="813" t="b">
        <f t="shared" si="25"/>
        <v>0</v>
      </c>
      <c r="N80" s="813" t="b">
        <f t="shared" si="25"/>
        <v>0</v>
      </c>
    </row>
    <row r="81" spans="3:14" s="808" customFormat="1" ht="14.25" hidden="1" customHeight="1">
      <c r="C81" s="810" t="b">
        <f t="shared" si="24"/>
        <v>1</v>
      </c>
      <c r="D81" s="807" t="str">
        <f>Popup_Wobbler!C92</f>
        <v>-</v>
      </c>
      <c r="E81" s="813" t="b">
        <f t="shared" si="22"/>
        <v>0</v>
      </c>
      <c r="F81" s="813" t="b">
        <f t="shared" si="25"/>
        <v>0</v>
      </c>
      <c r="G81" s="813" t="b">
        <f t="shared" si="25"/>
        <v>0</v>
      </c>
      <c r="H81" s="813" t="b">
        <f t="shared" si="25"/>
        <v>0</v>
      </c>
      <c r="I81" s="813" t="b">
        <f t="shared" si="25"/>
        <v>0</v>
      </c>
      <c r="J81" s="813" t="b">
        <f t="shared" si="25"/>
        <v>0</v>
      </c>
      <c r="K81" s="813" t="b">
        <f t="shared" si="25"/>
        <v>0</v>
      </c>
      <c r="L81" s="813" t="b">
        <f t="shared" si="25"/>
        <v>0</v>
      </c>
      <c r="M81" s="813" t="b">
        <f t="shared" si="25"/>
        <v>0</v>
      </c>
      <c r="N81" s="813" t="b">
        <f t="shared" si="25"/>
        <v>0</v>
      </c>
    </row>
    <row r="82" spans="3:14" s="808" customFormat="1" ht="14.25" hidden="1" customHeight="1">
      <c r="C82" s="810" t="b">
        <f t="shared" si="24"/>
        <v>1</v>
      </c>
      <c r="D82" s="807" t="str">
        <f>Popup_Wobbler!C93</f>
        <v>-</v>
      </c>
      <c r="E82" s="813" t="b">
        <f t="shared" si="22"/>
        <v>0</v>
      </c>
      <c r="F82" s="813" t="b">
        <f t="shared" si="25"/>
        <v>0</v>
      </c>
      <c r="G82" s="813" t="b">
        <f t="shared" si="25"/>
        <v>0</v>
      </c>
      <c r="H82" s="813" t="b">
        <f t="shared" si="25"/>
        <v>0</v>
      </c>
      <c r="I82" s="813" t="b">
        <f t="shared" si="25"/>
        <v>0</v>
      </c>
      <c r="J82" s="813" t="b">
        <f t="shared" si="25"/>
        <v>0</v>
      </c>
      <c r="K82" s="813" t="b">
        <f t="shared" si="25"/>
        <v>0</v>
      </c>
      <c r="L82" s="813" t="b">
        <f t="shared" si="25"/>
        <v>0</v>
      </c>
      <c r="M82" s="813" t="b">
        <f t="shared" si="25"/>
        <v>0</v>
      </c>
      <c r="N82" s="813" t="b">
        <f t="shared" si="25"/>
        <v>0</v>
      </c>
    </row>
    <row r="83" spans="3:14" s="808" customFormat="1" ht="14.25" hidden="1" customHeight="1">
      <c r="C83" s="810" t="b">
        <f t="shared" si="24"/>
        <v>1</v>
      </c>
      <c r="D83" s="807" t="str">
        <f>Popup_Wobbler!C94</f>
        <v>-</v>
      </c>
      <c r="E83" s="813" t="b">
        <f t="shared" si="22"/>
        <v>0</v>
      </c>
      <c r="F83" s="813" t="b">
        <f t="shared" si="25"/>
        <v>0</v>
      </c>
      <c r="G83" s="813" t="b">
        <f t="shared" si="25"/>
        <v>0</v>
      </c>
      <c r="H83" s="813" t="b">
        <f t="shared" si="25"/>
        <v>0</v>
      </c>
      <c r="I83" s="813" t="b">
        <f t="shared" si="25"/>
        <v>0</v>
      </c>
      <c r="J83" s="813" t="b">
        <f t="shared" si="25"/>
        <v>0</v>
      </c>
      <c r="K83" s="813" t="b">
        <f t="shared" si="25"/>
        <v>0</v>
      </c>
      <c r="L83" s="813" t="b">
        <f t="shared" si="25"/>
        <v>0</v>
      </c>
      <c r="M83" s="813" t="b">
        <f t="shared" si="25"/>
        <v>0</v>
      </c>
      <c r="N83" s="813" t="b">
        <f t="shared" si="25"/>
        <v>0</v>
      </c>
    </row>
    <row r="84" spans="3:14" s="808" customFormat="1" ht="14.25" hidden="1" customHeight="1">
      <c r="C84" s="810" t="b">
        <f t="shared" si="24"/>
        <v>1</v>
      </c>
      <c r="D84" s="807" t="str">
        <f>Popup_Wobbler!C95</f>
        <v>-</v>
      </c>
      <c r="E84" s="813" t="b">
        <f t="shared" ref="E84:E115" si="26">COUNTIF(E$22:E$42,$D84)&gt;0</f>
        <v>0</v>
      </c>
      <c r="F84" s="813" t="b">
        <f t="shared" ref="F84:N99" si="27">COUNTIF(F$22:F$42,$D84)&gt;0</f>
        <v>0</v>
      </c>
      <c r="G84" s="813" t="b">
        <f t="shared" si="27"/>
        <v>0</v>
      </c>
      <c r="H84" s="813" t="b">
        <f t="shared" si="27"/>
        <v>0</v>
      </c>
      <c r="I84" s="813" t="b">
        <f t="shared" si="27"/>
        <v>0</v>
      </c>
      <c r="J84" s="813" t="b">
        <f t="shared" si="27"/>
        <v>0</v>
      </c>
      <c r="K84" s="813" t="b">
        <f t="shared" si="27"/>
        <v>0</v>
      </c>
      <c r="L84" s="813" t="b">
        <f t="shared" si="27"/>
        <v>0</v>
      </c>
      <c r="M84" s="813" t="b">
        <f t="shared" si="27"/>
        <v>0</v>
      </c>
      <c r="N84" s="813" t="b">
        <f t="shared" si="27"/>
        <v>0</v>
      </c>
    </row>
    <row r="85" spans="3:14" s="808" customFormat="1" ht="14.25" hidden="1" customHeight="1">
      <c r="C85" s="810" t="b">
        <f t="shared" si="24"/>
        <v>1</v>
      </c>
      <c r="D85" s="807" t="str">
        <f>Popup_Wobbler!C96</f>
        <v>-</v>
      </c>
      <c r="E85" s="813" t="b">
        <f t="shared" si="26"/>
        <v>0</v>
      </c>
      <c r="F85" s="813" t="b">
        <f t="shared" si="27"/>
        <v>0</v>
      </c>
      <c r="G85" s="813" t="b">
        <f t="shared" si="27"/>
        <v>0</v>
      </c>
      <c r="H85" s="813" t="b">
        <f t="shared" si="27"/>
        <v>0</v>
      </c>
      <c r="I85" s="813" t="b">
        <f t="shared" si="27"/>
        <v>0</v>
      </c>
      <c r="J85" s="813" t="b">
        <f t="shared" si="27"/>
        <v>0</v>
      </c>
      <c r="K85" s="813" t="b">
        <f t="shared" si="27"/>
        <v>0</v>
      </c>
      <c r="L85" s="813" t="b">
        <f t="shared" si="27"/>
        <v>0</v>
      </c>
      <c r="M85" s="813" t="b">
        <f t="shared" si="27"/>
        <v>0</v>
      </c>
      <c r="N85" s="813" t="b">
        <f t="shared" si="27"/>
        <v>0</v>
      </c>
    </row>
    <row r="86" spans="3:14" s="808" customFormat="1" ht="14.25" hidden="1" customHeight="1">
      <c r="C86" s="810" t="b">
        <f t="shared" si="24"/>
        <v>1</v>
      </c>
      <c r="D86" s="807" t="str">
        <f>Popup_Wobbler!C97</f>
        <v>-</v>
      </c>
      <c r="E86" s="813" t="b">
        <f t="shared" si="26"/>
        <v>0</v>
      </c>
      <c r="F86" s="813" t="b">
        <f t="shared" si="27"/>
        <v>0</v>
      </c>
      <c r="G86" s="813" t="b">
        <f t="shared" si="27"/>
        <v>0</v>
      </c>
      <c r="H86" s="813" t="b">
        <f t="shared" si="27"/>
        <v>0</v>
      </c>
      <c r="I86" s="813" t="b">
        <f t="shared" si="27"/>
        <v>0</v>
      </c>
      <c r="J86" s="813" t="b">
        <f t="shared" si="27"/>
        <v>0</v>
      </c>
      <c r="K86" s="813" t="b">
        <f t="shared" si="27"/>
        <v>0</v>
      </c>
      <c r="L86" s="813" t="b">
        <f t="shared" si="27"/>
        <v>0</v>
      </c>
      <c r="M86" s="813" t="b">
        <f t="shared" si="27"/>
        <v>0</v>
      </c>
      <c r="N86" s="813" t="b">
        <f t="shared" si="27"/>
        <v>0</v>
      </c>
    </row>
    <row r="87" spans="3:14" s="808" customFormat="1" ht="14.25" hidden="1" customHeight="1">
      <c r="C87" s="810" t="b">
        <f t="shared" si="24"/>
        <v>1</v>
      </c>
      <c r="D87" s="807" t="str">
        <f>Popup_Wobbler!C98</f>
        <v>-</v>
      </c>
      <c r="E87" s="813" t="b">
        <f t="shared" si="26"/>
        <v>0</v>
      </c>
      <c r="F87" s="813" t="b">
        <f t="shared" si="27"/>
        <v>0</v>
      </c>
      <c r="G87" s="813" t="b">
        <f t="shared" si="27"/>
        <v>0</v>
      </c>
      <c r="H87" s="813" t="b">
        <f t="shared" si="27"/>
        <v>0</v>
      </c>
      <c r="I87" s="813" t="b">
        <f t="shared" si="27"/>
        <v>0</v>
      </c>
      <c r="J87" s="813" t="b">
        <f t="shared" si="27"/>
        <v>0</v>
      </c>
      <c r="K87" s="813" t="b">
        <f t="shared" si="27"/>
        <v>0</v>
      </c>
      <c r="L87" s="813" t="b">
        <f t="shared" si="27"/>
        <v>0</v>
      </c>
      <c r="M87" s="813" t="b">
        <f t="shared" si="27"/>
        <v>0</v>
      </c>
      <c r="N87" s="813" t="b">
        <f t="shared" si="27"/>
        <v>0</v>
      </c>
    </row>
    <row r="88" spans="3:14" s="808" customFormat="1" ht="14.25" hidden="1" customHeight="1">
      <c r="C88" s="810" t="b">
        <f t="shared" si="24"/>
        <v>1</v>
      </c>
      <c r="D88" s="807" t="str">
        <f>Popup_Wobbler!C99</f>
        <v>-</v>
      </c>
      <c r="E88" s="813" t="b">
        <f t="shared" si="26"/>
        <v>0</v>
      </c>
      <c r="F88" s="813" t="b">
        <f t="shared" si="27"/>
        <v>0</v>
      </c>
      <c r="G88" s="813" t="b">
        <f t="shared" si="27"/>
        <v>0</v>
      </c>
      <c r="H88" s="813" t="b">
        <f t="shared" si="27"/>
        <v>0</v>
      </c>
      <c r="I88" s="813" t="b">
        <f t="shared" si="27"/>
        <v>0</v>
      </c>
      <c r="J88" s="813" t="b">
        <f t="shared" si="27"/>
        <v>0</v>
      </c>
      <c r="K88" s="813" t="b">
        <f t="shared" si="27"/>
        <v>0</v>
      </c>
      <c r="L88" s="813" t="b">
        <f t="shared" si="27"/>
        <v>0</v>
      </c>
      <c r="M88" s="813" t="b">
        <f t="shared" si="27"/>
        <v>0</v>
      </c>
      <c r="N88" s="813" t="b">
        <f t="shared" si="27"/>
        <v>0</v>
      </c>
    </row>
    <row r="89" spans="3:14" s="808" customFormat="1" ht="14.25" hidden="1" customHeight="1">
      <c r="C89" s="810" t="b">
        <f t="shared" si="24"/>
        <v>1</v>
      </c>
      <c r="D89" s="807" t="str">
        <f>Popup_Wobbler!C100</f>
        <v>-</v>
      </c>
      <c r="E89" s="813" t="b">
        <f t="shared" si="26"/>
        <v>0</v>
      </c>
      <c r="F89" s="813" t="b">
        <f t="shared" si="27"/>
        <v>0</v>
      </c>
      <c r="G89" s="813" t="b">
        <f t="shared" si="27"/>
        <v>0</v>
      </c>
      <c r="H89" s="813" t="b">
        <f t="shared" si="27"/>
        <v>0</v>
      </c>
      <c r="I89" s="813" t="b">
        <f t="shared" si="27"/>
        <v>0</v>
      </c>
      <c r="J89" s="813" t="b">
        <f t="shared" si="27"/>
        <v>0</v>
      </c>
      <c r="K89" s="813" t="b">
        <f t="shared" si="27"/>
        <v>0</v>
      </c>
      <c r="L89" s="813" t="b">
        <f t="shared" si="27"/>
        <v>0</v>
      </c>
      <c r="M89" s="813" t="b">
        <f t="shared" si="27"/>
        <v>0</v>
      </c>
      <c r="N89" s="813" t="b">
        <f t="shared" si="27"/>
        <v>0</v>
      </c>
    </row>
    <row r="90" spans="3:14" s="808" customFormat="1" ht="14.25" hidden="1" customHeight="1">
      <c r="C90" s="810" t="b">
        <f t="shared" si="24"/>
        <v>1</v>
      </c>
      <c r="D90" s="807" t="str">
        <f>Popup_Wobbler!C101</f>
        <v>-</v>
      </c>
      <c r="E90" s="813" t="b">
        <f t="shared" si="26"/>
        <v>0</v>
      </c>
      <c r="F90" s="813" t="b">
        <f t="shared" si="27"/>
        <v>0</v>
      </c>
      <c r="G90" s="813" t="b">
        <f t="shared" si="27"/>
        <v>0</v>
      </c>
      <c r="H90" s="813" t="b">
        <f t="shared" si="27"/>
        <v>0</v>
      </c>
      <c r="I90" s="813" t="b">
        <f t="shared" si="27"/>
        <v>0</v>
      </c>
      <c r="J90" s="813" t="b">
        <f t="shared" si="27"/>
        <v>0</v>
      </c>
      <c r="K90" s="813" t="b">
        <f t="shared" si="27"/>
        <v>0</v>
      </c>
      <c r="L90" s="813" t="b">
        <f t="shared" si="27"/>
        <v>0</v>
      </c>
      <c r="M90" s="813" t="b">
        <f t="shared" si="27"/>
        <v>0</v>
      </c>
      <c r="N90" s="813" t="b">
        <f t="shared" si="27"/>
        <v>0</v>
      </c>
    </row>
    <row r="91" spans="3:14" s="808" customFormat="1" ht="14.25" hidden="1" customHeight="1">
      <c r="C91" s="810" t="b">
        <f t="shared" si="24"/>
        <v>1</v>
      </c>
      <c r="D91" s="807" t="str">
        <f>Popup_Wobbler!C102</f>
        <v>-</v>
      </c>
      <c r="E91" s="813" t="b">
        <f t="shared" si="26"/>
        <v>0</v>
      </c>
      <c r="F91" s="813" t="b">
        <f t="shared" si="27"/>
        <v>0</v>
      </c>
      <c r="G91" s="813" t="b">
        <f t="shared" si="27"/>
        <v>0</v>
      </c>
      <c r="H91" s="813" t="b">
        <f t="shared" si="27"/>
        <v>0</v>
      </c>
      <c r="I91" s="813" t="b">
        <f t="shared" si="27"/>
        <v>0</v>
      </c>
      <c r="J91" s="813" t="b">
        <f t="shared" si="27"/>
        <v>0</v>
      </c>
      <c r="K91" s="813" t="b">
        <f t="shared" si="27"/>
        <v>0</v>
      </c>
      <c r="L91" s="813" t="b">
        <f t="shared" si="27"/>
        <v>0</v>
      </c>
      <c r="M91" s="813" t="b">
        <f t="shared" si="27"/>
        <v>0</v>
      </c>
      <c r="N91" s="813" t="b">
        <f t="shared" si="27"/>
        <v>0</v>
      </c>
    </row>
    <row r="92" spans="3:14" s="808" customFormat="1" ht="14.25" hidden="1" customHeight="1">
      <c r="C92" s="810" t="b">
        <f t="shared" si="24"/>
        <v>1</v>
      </c>
      <c r="D92" s="807" t="str">
        <f>Popup_Wobbler!C103</f>
        <v>-</v>
      </c>
      <c r="E92" s="813" t="b">
        <f t="shared" si="26"/>
        <v>0</v>
      </c>
      <c r="F92" s="813" t="b">
        <f t="shared" si="27"/>
        <v>0</v>
      </c>
      <c r="G92" s="813" t="b">
        <f t="shared" si="27"/>
        <v>0</v>
      </c>
      <c r="H92" s="813" t="b">
        <f t="shared" si="27"/>
        <v>0</v>
      </c>
      <c r="I92" s="813" t="b">
        <f t="shared" si="27"/>
        <v>0</v>
      </c>
      <c r="J92" s="813" t="b">
        <f t="shared" si="27"/>
        <v>0</v>
      </c>
      <c r="K92" s="813" t="b">
        <f t="shared" si="27"/>
        <v>0</v>
      </c>
      <c r="L92" s="813" t="b">
        <f t="shared" si="27"/>
        <v>0</v>
      </c>
      <c r="M92" s="813" t="b">
        <f t="shared" si="27"/>
        <v>0</v>
      </c>
      <c r="N92" s="813" t="b">
        <f t="shared" si="27"/>
        <v>0</v>
      </c>
    </row>
    <row r="93" spans="3:14" s="808" customFormat="1" ht="14.25" hidden="1" customHeight="1">
      <c r="C93" s="810" t="b">
        <f t="shared" si="24"/>
        <v>1</v>
      </c>
      <c r="D93" s="807" t="str">
        <f>Popup_Wobbler!C104</f>
        <v>-</v>
      </c>
      <c r="E93" s="813" t="b">
        <f t="shared" si="26"/>
        <v>0</v>
      </c>
      <c r="F93" s="813" t="b">
        <f t="shared" si="27"/>
        <v>0</v>
      </c>
      <c r="G93" s="813" t="b">
        <f t="shared" si="27"/>
        <v>0</v>
      </c>
      <c r="H93" s="813" t="b">
        <f t="shared" si="27"/>
        <v>0</v>
      </c>
      <c r="I93" s="813" t="b">
        <f t="shared" si="27"/>
        <v>0</v>
      </c>
      <c r="J93" s="813" t="b">
        <f t="shared" si="27"/>
        <v>0</v>
      </c>
      <c r="K93" s="813" t="b">
        <f t="shared" si="27"/>
        <v>0</v>
      </c>
      <c r="L93" s="813" t="b">
        <f t="shared" si="27"/>
        <v>0</v>
      </c>
      <c r="M93" s="813" t="b">
        <f t="shared" si="27"/>
        <v>0</v>
      </c>
      <c r="N93" s="813" t="b">
        <f t="shared" si="27"/>
        <v>0</v>
      </c>
    </row>
    <row r="94" spans="3:14" s="808" customFormat="1" ht="14.25" hidden="1" customHeight="1">
      <c r="C94" s="810" t="b">
        <f t="shared" si="24"/>
        <v>1</v>
      </c>
      <c r="D94" s="807" t="str">
        <f>Popup_Wobbler!C105</f>
        <v>-</v>
      </c>
      <c r="E94" s="813" t="b">
        <f t="shared" si="26"/>
        <v>0</v>
      </c>
      <c r="F94" s="813" t="b">
        <f t="shared" si="27"/>
        <v>0</v>
      </c>
      <c r="G94" s="813" t="b">
        <f t="shared" si="27"/>
        <v>0</v>
      </c>
      <c r="H94" s="813" t="b">
        <f t="shared" si="27"/>
        <v>0</v>
      </c>
      <c r="I94" s="813" t="b">
        <f t="shared" si="27"/>
        <v>0</v>
      </c>
      <c r="J94" s="813" t="b">
        <f t="shared" si="27"/>
        <v>0</v>
      </c>
      <c r="K94" s="813" t="b">
        <f t="shared" si="27"/>
        <v>0</v>
      </c>
      <c r="L94" s="813" t="b">
        <f t="shared" si="27"/>
        <v>0</v>
      </c>
      <c r="M94" s="813" t="b">
        <f t="shared" si="27"/>
        <v>0</v>
      </c>
      <c r="N94" s="813" t="b">
        <f t="shared" si="27"/>
        <v>0</v>
      </c>
    </row>
    <row r="95" spans="3:14" s="808" customFormat="1" ht="14.25" hidden="1" customHeight="1">
      <c r="C95" s="810" t="b">
        <f t="shared" si="24"/>
        <v>1</v>
      </c>
      <c r="D95" s="807" t="str">
        <f>Popup_Wobbler!C106</f>
        <v>-</v>
      </c>
      <c r="E95" s="813" t="b">
        <f t="shared" si="26"/>
        <v>0</v>
      </c>
      <c r="F95" s="813" t="b">
        <f t="shared" si="27"/>
        <v>0</v>
      </c>
      <c r="G95" s="813" t="b">
        <f t="shared" si="27"/>
        <v>0</v>
      </c>
      <c r="H95" s="813" t="b">
        <f t="shared" si="27"/>
        <v>0</v>
      </c>
      <c r="I95" s="813" t="b">
        <f t="shared" si="27"/>
        <v>0</v>
      </c>
      <c r="J95" s="813" t="b">
        <f t="shared" si="27"/>
        <v>0</v>
      </c>
      <c r="K95" s="813" t="b">
        <f t="shared" si="27"/>
        <v>0</v>
      </c>
      <c r="L95" s="813" t="b">
        <f t="shared" si="27"/>
        <v>0</v>
      </c>
      <c r="M95" s="813" t="b">
        <f t="shared" si="27"/>
        <v>0</v>
      </c>
      <c r="N95" s="813" t="b">
        <f t="shared" si="27"/>
        <v>0</v>
      </c>
    </row>
    <row r="96" spans="3:14" s="808" customFormat="1" ht="14.25" hidden="1" customHeight="1">
      <c r="C96" s="810" t="b">
        <f t="shared" si="24"/>
        <v>1</v>
      </c>
      <c r="D96" s="807" t="str">
        <f>Popup_Wobbler!C107</f>
        <v>-</v>
      </c>
      <c r="E96" s="813" t="b">
        <f t="shared" si="26"/>
        <v>0</v>
      </c>
      <c r="F96" s="813" t="b">
        <f t="shared" si="27"/>
        <v>0</v>
      </c>
      <c r="G96" s="813" t="b">
        <f t="shared" si="27"/>
        <v>0</v>
      </c>
      <c r="H96" s="813" t="b">
        <f t="shared" si="27"/>
        <v>0</v>
      </c>
      <c r="I96" s="813" t="b">
        <f t="shared" si="27"/>
        <v>0</v>
      </c>
      <c r="J96" s="813" t="b">
        <f t="shared" si="27"/>
        <v>0</v>
      </c>
      <c r="K96" s="813" t="b">
        <f t="shared" si="27"/>
        <v>0</v>
      </c>
      <c r="L96" s="813" t="b">
        <f t="shared" si="27"/>
        <v>0</v>
      </c>
      <c r="M96" s="813" t="b">
        <f t="shared" si="27"/>
        <v>0</v>
      </c>
      <c r="N96" s="813" t="b">
        <f t="shared" si="27"/>
        <v>0</v>
      </c>
    </row>
    <row r="97" spans="3:14" s="808" customFormat="1" ht="14.25" hidden="1" customHeight="1">
      <c r="C97" s="810" t="b">
        <f t="shared" si="24"/>
        <v>1</v>
      </c>
      <c r="D97" s="807" t="str">
        <f>Popup_Wobbler!C108</f>
        <v>-</v>
      </c>
      <c r="E97" s="813" t="b">
        <f t="shared" si="26"/>
        <v>0</v>
      </c>
      <c r="F97" s="813" t="b">
        <f t="shared" si="27"/>
        <v>0</v>
      </c>
      <c r="G97" s="813" t="b">
        <f t="shared" si="27"/>
        <v>0</v>
      </c>
      <c r="H97" s="813" t="b">
        <f t="shared" si="27"/>
        <v>0</v>
      </c>
      <c r="I97" s="813" t="b">
        <f t="shared" si="27"/>
        <v>0</v>
      </c>
      <c r="J97" s="813" t="b">
        <f t="shared" si="27"/>
        <v>0</v>
      </c>
      <c r="K97" s="813" t="b">
        <f t="shared" si="27"/>
        <v>0</v>
      </c>
      <c r="L97" s="813" t="b">
        <f t="shared" si="27"/>
        <v>0</v>
      </c>
      <c r="M97" s="813" t="b">
        <f t="shared" si="27"/>
        <v>0</v>
      </c>
      <c r="N97" s="813" t="b">
        <f t="shared" si="27"/>
        <v>0</v>
      </c>
    </row>
    <row r="98" spans="3:14" s="808" customFormat="1" ht="14.25" hidden="1" customHeight="1">
      <c r="C98" s="810" t="b">
        <f t="shared" si="24"/>
        <v>1</v>
      </c>
      <c r="D98" s="807" t="str">
        <f>Popup_Wobbler!C109</f>
        <v>-</v>
      </c>
      <c r="E98" s="813" t="b">
        <f t="shared" si="26"/>
        <v>0</v>
      </c>
      <c r="F98" s="813" t="b">
        <f t="shared" si="27"/>
        <v>0</v>
      </c>
      <c r="G98" s="813" t="b">
        <f t="shared" si="27"/>
        <v>0</v>
      </c>
      <c r="H98" s="813" t="b">
        <f t="shared" si="27"/>
        <v>0</v>
      </c>
      <c r="I98" s="813" t="b">
        <f t="shared" si="27"/>
        <v>0</v>
      </c>
      <c r="J98" s="813" t="b">
        <f t="shared" si="27"/>
        <v>0</v>
      </c>
      <c r="K98" s="813" t="b">
        <f t="shared" si="27"/>
        <v>0</v>
      </c>
      <c r="L98" s="813" t="b">
        <f t="shared" si="27"/>
        <v>0</v>
      </c>
      <c r="M98" s="813" t="b">
        <f t="shared" si="27"/>
        <v>0</v>
      </c>
      <c r="N98" s="813" t="b">
        <f t="shared" si="27"/>
        <v>0</v>
      </c>
    </row>
    <row r="99" spans="3:14" s="808" customFormat="1" ht="14.25" hidden="1" customHeight="1">
      <c r="C99" s="810" t="b">
        <f t="shared" si="24"/>
        <v>1</v>
      </c>
      <c r="D99" s="807" t="str">
        <f>Popup_Wobbler!C110</f>
        <v>-</v>
      </c>
      <c r="E99" s="813" t="b">
        <f t="shared" si="26"/>
        <v>0</v>
      </c>
      <c r="F99" s="813" t="b">
        <f t="shared" si="27"/>
        <v>0</v>
      </c>
      <c r="G99" s="813" t="b">
        <f t="shared" si="27"/>
        <v>0</v>
      </c>
      <c r="H99" s="813" t="b">
        <f t="shared" si="27"/>
        <v>0</v>
      </c>
      <c r="I99" s="813" t="b">
        <f t="shared" si="27"/>
        <v>0</v>
      </c>
      <c r="J99" s="813" t="b">
        <f t="shared" si="27"/>
        <v>0</v>
      </c>
      <c r="K99" s="813" t="b">
        <f t="shared" si="27"/>
        <v>0</v>
      </c>
      <c r="L99" s="813" t="b">
        <f t="shared" si="27"/>
        <v>0</v>
      </c>
      <c r="M99" s="813" t="b">
        <f t="shared" si="27"/>
        <v>0</v>
      </c>
      <c r="N99" s="813" t="b">
        <f t="shared" si="27"/>
        <v>0</v>
      </c>
    </row>
    <row r="100" spans="3:14" s="808" customFormat="1" ht="14.25" hidden="1" customHeight="1">
      <c r="C100" s="810" t="b">
        <f t="shared" si="24"/>
        <v>1</v>
      </c>
      <c r="D100" s="807" t="str">
        <f>Popup_Wobbler!C111</f>
        <v>-</v>
      </c>
      <c r="E100" s="813" t="b">
        <f t="shared" si="26"/>
        <v>0</v>
      </c>
      <c r="F100" s="813" t="b">
        <f t="shared" ref="F100:N115" si="28">COUNTIF(F$22:F$42,$D100)&gt;0</f>
        <v>0</v>
      </c>
      <c r="G100" s="813" t="b">
        <f t="shared" si="28"/>
        <v>0</v>
      </c>
      <c r="H100" s="813" t="b">
        <f t="shared" si="28"/>
        <v>0</v>
      </c>
      <c r="I100" s="813" t="b">
        <f t="shared" si="28"/>
        <v>0</v>
      </c>
      <c r="J100" s="813" t="b">
        <f t="shared" si="28"/>
        <v>0</v>
      </c>
      <c r="K100" s="813" t="b">
        <f t="shared" si="28"/>
        <v>0</v>
      </c>
      <c r="L100" s="813" t="b">
        <f t="shared" si="28"/>
        <v>0</v>
      </c>
      <c r="M100" s="813" t="b">
        <f t="shared" si="28"/>
        <v>0</v>
      </c>
      <c r="N100" s="813" t="b">
        <f t="shared" si="28"/>
        <v>0</v>
      </c>
    </row>
    <row r="101" spans="3:14" s="808" customFormat="1" ht="14.25" hidden="1" customHeight="1">
      <c r="C101" s="810" t="b">
        <f t="shared" si="24"/>
        <v>1</v>
      </c>
      <c r="D101" s="807" t="str">
        <f>Popup_Wobbler!C112</f>
        <v>-</v>
      </c>
      <c r="E101" s="813" t="b">
        <f t="shared" si="26"/>
        <v>0</v>
      </c>
      <c r="F101" s="813" t="b">
        <f t="shared" si="28"/>
        <v>0</v>
      </c>
      <c r="G101" s="813" t="b">
        <f t="shared" si="28"/>
        <v>0</v>
      </c>
      <c r="H101" s="813" t="b">
        <f t="shared" si="28"/>
        <v>0</v>
      </c>
      <c r="I101" s="813" t="b">
        <f t="shared" si="28"/>
        <v>0</v>
      </c>
      <c r="J101" s="813" t="b">
        <f t="shared" si="28"/>
        <v>0</v>
      </c>
      <c r="K101" s="813" t="b">
        <f t="shared" si="28"/>
        <v>0</v>
      </c>
      <c r="L101" s="813" t="b">
        <f t="shared" si="28"/>
        <v>0</v>
      </c>
      <c r="M101" s="813" t="b">
        <f t="shared" si="28"/>
        <v>0</v>
      </c>
      <c r="N101" s="813" t="b">
        <f t="shared" si="28"/>
        <v>0</v>
      </c>
    </row>
    <row r="102" spans="3:14" s="808" customFormat="1" ht="14.25" hidden="1" customHeight="1">
      <c r="C102" s="810" t="b">
        <f t="shared" si="24"/>
        <v>1</v>
      </c>
      <c r="D102" s="807" t="str">
        <f>Popup_Wobbler!C113</f>
        <v>-</v>
      </c>
      <c r="E102" s="813" t="b">
        <f t="shared" si="26"/>
        <v>0</v>
      </c>
      <c r="F102" s="813" t="b">
        <f t="shared" si="28"/>
        <v>0</v>
      </c>
      <c r="G102" s="813" t="b">
        <f t="shared" si="28"/>
        <v>0</v>
      </c>
      <c r="H102" s="813" t="b">
        <f t="shared" si="28"/>
        <v>0</v>
      </c>
      <c r="I102" s="813" t="b">
        <f t="shared" si="28"/>
        <v>0</v>
      </c>
      <c r="J102" s="813" t="b">
        <f t="shared" si="28"/>
        <v>0</v>
      </c>
      <c r="K102" s="813" t="b">
        <f t="shared" si="28"/>
        <v>0</v>
      </c>
      <c r="L102" s="813" t="b">
        <f t="shared" si="28"/>
        <v>0</v>
      </c>
      <c r="M102" s="813" t="b">
        <f t="shared" si="28"/>
        <v>0</v>
      </c>
      <c r="N102" s="813" t="b">
        <f t="shared" si="28"/>
        <v>0</v>
      </c>
    </row>
    <row r="103" spans="3:14" s="808" customFormat="1" ht="14.25" hidden="1" customHeight="1">
      <c r="C103" s="810" t="b">
        <f t="shared" si="24"/>
        <v>1</v>
      </c>
      <c r="D103" s="807" t="str">
        <f>Popup_Wobbler!C114</f>
        <v>-</v>
      </c>
      <c r="E103" s="813" t="b">
        <f t="shared" si="26"/>
        <v>0</v>
      </c>
      <c r="F103" s="813" t="b">
        <f t="shared" si="28"/>
        <v>0</v>
      </c>
      <c r="G103" s="813" t="b">
        <f t="shared" si="28"/>
        <v>0</v>
      </c>
      <c r="H103" s="813" t="b">
        <f t="shared" si="28"/>
        <v>0</v>
      </c>
      <c r="I103" s="813" t="b">
        <f t="shared" si="28"/>
        <v>0</v>
      </c>
      <c r="J103" s="813" t="b">
        <f t="shared" si="28"/>
        <v>0</v>
      </c>
      <c r="K103" s="813" t="b">
        <f t="shared" si="28"/>
        <v>0</v>
      </c>
      <c r="L103" s="813" t="b">
        <f t="shared" si="28"/>
        <v>0</v>
      </c>
      <c r="M103" s="813" t="b">
        <f t="shared" si="28"/>
        <v>0</v>
      </c>
      <c r="N103" s="813" t="b">
        <f t="shared" si="28"/>
        <v>0</v>
      </c>
    </row>
    <row r="104" spans="3:14" s="808" customFormat="1" ht="14.25" hidden="1" customHeight="1">
      <c r="C104" s="810" t="b">
        <f t="shared" si="24"/>
        <v>1</v>
      </c>
      <c r="D104" s="807" t="str">
        <f>Popup_Wobbler!C115</f>
        <v>-</v>
      </c>
      <c r="E104" s="813" t="b">
        <f t="shared" si="26"/>
        <v>0</v>
      </c>
      <c r="F104" s="813" t="b">
        <f t="shared" si="28"/>
        <v>0</v>
      </c>
      <c r="G104" s="813" t="b">
        <f t="shared" si="28"/>
        <v>0</v>
      </c>
      <c r="H104" s="813" t="b">
        <f t="shared" si="28"/>
        <v>0</v>
      </c>
      <c r="I104" s="813" t="b">
        <f t="shared" si="28"/>
        <v>0</v>
      </c>
      <c r="J104" s="813" t="b">
        <f t="shared" si="28"/>
        <v>0</v>
      </c>
      <c r="K104" s="813" t="b">
        <f t="shared" si="28"/>
        <v>0</v>
      </c>
      <c r="L104" s="813" t="b">
        <f t="shared" si="28"/>
        <v>0</v>
      </c>
      <c r="M104" s="813" t="b">
        <f t="shared" si="28"/>
        <v>0</v>
      </c>
      <c r="N104" s="813" t="b">
        <f t="shared" si="28"/>
        <v>0</v>
      </c>
    </row>
    <row r="105" spans="3:14" s="808" customFormat="1" ht="14.25" hidden="1" customHeight="1">
      <c r="C105" s="810" t="b">
        <f t="shared" si="24"/>
        <v>1</v>
      </c>
      <c r="D105" s="807" t="str">
        <f>Popup_Wobbler!C116</f>
        <v>-</v>
      </c>
      <c r="E105" s="813" t="b">
        <f t="shared" si="26"/>
        <v>0</v>
      </c>
      <c r="F105" s="813" t="b">
        <f t="shared" si="28"/>
        <v>0</v>
      </c>
      <c r="G105" s="813" t="b">
        <f t="shared" si="28"/>
        <v>0</v>
      </c>
      <c r="H105" s="813" t="b">
        <f t="shared" si="28"/>
        <v>0</v>
      </c>
      <c r="I105" s="813" t="b">
        <f t="shared" si="28"/>
        <v>0</v>
      </c>
      <c r="J105" s="813" t="b">
        <f t="shared" si="28"/>
        <v>0</v>
      </c>
      <c r="K105" s="813" t="b">
        <f t="shared" si="28"/>
        <v>0</v>
      </c>
      <c r="L105" s="813" t="b">
        <f t="shared" si="28"/>
        <v>0</v>
      </c>
      <c r="M105" s="813" t="b">
        <f t="shared" si="28"/>
        <v>0</v>
      </c>
      <c r="N105" s="813" t="b">
        <f t="shared" si="28"/>
        <v>0</v>
      </c>
    </row>
    <row r="106" spans="3:14" s="808" customFormat="1" ht="14.25" hidden="1" customHeight="1">
      <c r="C106" s="810" t="b">
        <f t="shared" si="24"/>
        <v>1</v>
      </c>
      <c r="D106" s="807" t="str">
        <f>Popup_Wobbler!C117</f>
        <v>-</v>
      </c>
      <c r="E106" s="813" t="b">
        <f t="shared" si="26"/>
        <v>0</v>
      </c>
      <c r="F106" s="813" t="b">
        <f t="shared" si="28"/>
        <v>0</v>
      </c>
      <c r="G106" s="813" t="b">
        <f t="shared" si="28"/>
        <v>0</v>
      </c>
      <c r="H106" s="813" t="b">
        <f t="shared" si="28"/>
        <v>0</v>
      </c>
      <c r="I106" s="813" t="b">
        <f t="shared" si="28"/>
        <v>0</v>
      </c>
      <c r="J106" s="813" t="b">
        <f t="shared" si="28"/>
        <v>0</v>
      </c>
      <c r="K106" s="813" t="b">
        <f t="shared" si="28"/>
        <v>0</v>
      </c>
      <c r="L106" s="813" t="b">
        <f t="shared" si="28"/>
        <v>0</v>
      </c>
      <c r="M106" s="813" t="b">
        <f t="shared" si="28"/>
        <v>0</v>
      </c>
      <c r="N106" s="813" t="b">
        <f t="shared" si="28"/>
        <v>0</v>
      </c>
    </row>
    <row r="107" spans="3:14" s="808" customFormat="1" ht="14.25" hidden="1" customHeight="1">
      <c r="C107" s="810" t="b">
        <f t="shared" si="24"/>
        <v>1</v>
      </c>
      <c r="D107" s="807" t="str">
        <f>Popup_Wobbler!C118</f>
        <v>-</v>
      </c>
      <c r="E107" s="813" t="b">
        <f t="shared" si="26"/>
        <v>0</v>
      </c>
      <c r="F107" s="813" t="b">
        <f t="shared" si="28"/>
        <v>0</v>
      </c>
      <c r="G107" s="813" t="b">
        <f t="shared" si="28"/>
        <v>0</v>
      </c>
      <c r="H107" s="813" t="b">
        <f t="shared" si="28"/>
        <v>0</v>
      </c>
      <c r="I107" s="813" t="b">
        <f t="shared" si="28"/>
        <v>0</v>
      </c>
      <c r="J107" s="813" t="b">
        <f t="shared" si="28"/>
        <v>0</v>
      </c>
      <c r="K107" s="813" t="b">
        <f t="shared" si="28"/>
        <v>0</v>
      </c>
      <c r="L107" s="813" t="b">
        <f t="shared" si="28"/>
        <v>0</v>
      </c>
      <c r="M107" s="813" t="b">
        <f t="shared" si="28"/>
        <v>0</v>
      </c>
      <c r="N107" s="813" t="b">
        <f t="shared" si="28"/>
        <v>0</v>
      </c>
    </row>
    <row r="108" spans="3:14" s="808" customFormat="1" ht="14.25" hidden="1" customHeight="1">
      <c r="C108" s="810" t="b">
        <f t="shared" si="24"/>
        <v>1</v>
      </c>
      <c r="D108" s="807" t="str">
        <f>Popup_Wobbler!C119</f>
        <v>-</v>
      </c>
      <c r="E108" s="813" t="b">
        <f t="shared" si="26"/>
        <v>0</v>
      </c>
      <c r="F108" s="813" t="b">
        <f t="shared" si="28"/>
        <v>0</v>
      </c>
      <c r="G108" s="813" t="b">
        <f t="shared" si="28"/>
        <v>0</v>
      </c>
      <c r="H108" s="813" t="b">
        <f t="shared" si="28"/>
        <v>0</v>
      </c>
      <c r="I108" s="813" t="b">
        <f t="shared" si="28"/>
        <v>0</v>
      </c>
      <c r="J108" s="813" t="b">
        <f t="shared" si="28"/>
        <v>0</v>
      </c>
      <c r="K108" s="813" t="b">
        <f t="shared" si="28"/>
        <v>0</v>
      </c>
      <c r="L108" s="813" t="b">
        <f t="shared" si="28"/>
        <v>0</v>
      </c>
      <c r="M108" s="813" t="b">
        <f t="shared" si="28"/>
        <v>0</v>
      </c>
      <c r="N108" s="813" t="b">
        <f t="shared" si="28"/>
        <v>0</v>
      </c>
    </row>
    <row r="109" spans="3:14" s="808" customFormat="1" ht="14.25" hidden="1" customHeight="1">
      <c r="C109" s="810" t="b">
        <f t="shared" si="24"/>
        <v>1</v>
      </c>
      <c r="D109" s="807" t="str">
        <f>Popup_Wobbler!C120</f>
        <v>-</v>
      </c>
      <c r="E109" s="813" t="b">
        <f t="shared" si="26"/>
        <v>0</v>
      </c>
      <c r="F109" s="813" t="b">
        <f t="shared" si="28"/>
        <v>0</v>
      </c>
      <c r="G109" s="813" t="b">
        <f t="shared" si="28"/>
        <v>0</v>
      </c>
      <c r="H109" s="813" t="b">
        <f t="shared" si="28"/>
        <v>0</v>
      </c>
      <c r="I109" s="813" t="b">
        <f t="shared" si="28"/>
        <v>0</v>
      </c>
      <c r="J109" s="813" t="b">
        <f t="shared" si="28"/>
        <v>0</v>
      </c>
      <c r="K109" s="813" t="b">
        <f t="shared" si="28"/>
        <v>0</v>
      </c>
      <c r="L109" s="813" t="b">
        <f t="shared" si="28"/>
        <v>0</v>
      </c>
      <c r="M109" s="813" t="b">
        <f t="shared" si="28"/>
        <v>0</v>
      </c>
      <c r="N109" s="813" t="b">
        <f t="shared" si="28"/>
        <v>0</v>
      </c>
    </row>
    <row r="110" spans="3:14" s="808" customFormat="1" ht="14.25" hidden="1" customHeight="1">
      <c r="C110" s="810" t="b">
        <f t="shared" si="24"/>
        <v>1</v>
      </c>
      <c r="D110" s="807" t="str">
        <f>Popup_Wobbler!C121</f>
        <v>-</v>
      </c>
      <c r="E110" s="813" t="b">
        <f t="shared" si="26"/>
        <v>0</v>
      </c>
      <c r="F110" s="813" t="b">
        <f t="shared" si="28"/>
        <v>0</v>
      </c>
      <c r="G110" s="813" t="b">
        <f t="shared" si="28"/>
        <v>0</v>
      </c>
      <c r="H110" s="813" t="b">
        <f t="shared" si="28"/>
        <v>0</v>
      </c>
      <c r="I110" s="813" t="b">
        <f t="shared" si="28"/>
        <v>0</v>
      </c>
      <c r="J110" s="813" t="b">
        <f t="shared" si="28"/>
        <v>0</v>
      </c>
      <c r="K110" s="813" t="b">
        <f t="shared" si="28"/>
        <v>0</v>
      </c>
      <c r="L110" s="813" t="b">
        <f t="shared" si="28"/>
        <v>0</v>
      </c>
      <c r="M110" s="813" t="b">
        <f t="shared" si="28"/>
        <v>0</v>
      </c>
      <c r="N110" s="813" t="b">
        <f t="shared" si="28"/>
        <v>0</v>
      </c>
    </row>
    <row r="111" spans="3:14" s="808" customFormat="1" ht="14.25" hidden="1" customHeight="1">
      <c r="C111" s="810" t="b">
        <f t="shared" si="24"/>
        <v>1</v>
      </c>
      <c r="D111" s="807" t="str">
        <f>Popup_Wobbler!C122</f>
        <v>-</v>
      </c>
      <c r="E111" s="813" t="b">
        <f t="shared" si="26"/>
        <v>0</v>
      </c>
      <c r="F111" s="813" t="b">
        <f t="shared" si="28"/>
        <v>0</v>
      </c>
      <c r="G111" s="813" t="b">
        <f t="shared" si="28"/>
        <v>0</v>
      </c>
      <c r="H111" s="813" t="b">
        <f t="shared" si="28"/>
        <v>0</v>
      </c>
      <c r="I111" s="813" t="b">
        <f t="shared" si="28"/>
        <v>0</v>
      </c>
      <c r="J111" s="813" t="b">
        <f t="shared" si="28"/>
        <v>0</v>
      </c>
      <c r="K111" s="813" t="b">
        <f t="shared" si="28"/>
        <v>0</v>
      </c>
      <c r="L111" s="813" t="b">
        <f t="shared" si="28"/>
        <v>0</v>
      </c>
      <c r="M111" s="813" t="b">
        <f t="shared" si="28"/>
        <v>0</v>
      </c>
      <c r="N111" s="813" t="b">
        <f t="shared" si="28"/>
        <v>0</v>
      </c>
    </row>
    <row r="112" spans="3:14" s="808" customFormat="1" ht="14.25" hidden="1" customHeight="1">
      <c r="C112" s="810" t="b">
        <f t="shared" si="24"/>
        <v>1</v>
      </c>
      <c r="D112" s="807" t="str">
        <f>Popup_Wobbler!C123</f>
        <v>-</v>
      </c>
      <c r="E112" s="813" t="b">
        <f t="shared" si="26"/>
        <v>0</v>
      </c>
      <c r="F112" s="813" t="b">
        <f t="shared" si="28"/>
        <v>0</v>
      </c>
      <c r="G112" s="813" t="b">
        <f t="shared" si="28"/>
        <v>0</v>
      </c>
      <c r="H112" s="813" t="b">
        <f t="shared" si="28"/>
        <v>0</v>
      </c>
      <c r="I112" s="813" t="b">
        <f t="shared" si="28"/>
        <v>0</v>
      </c>
      <c r="J112" s="813" t="b">
        <f t="shared" si="28"/>
        <v>0</v>
      </c>
      <c r="K112" s="813" t="b">
        <f t="shared" si="28"/>
        <v>0</v>
      </c>
      <c r="L112" s="813" t="b">
        <f t="shared" si="28"/>
        <v>0</v>
      </c>
      <c r="M112" s="813" t="b">
        <f t="shared" si="28"/>
        <v>0</v>
      </c>
      <c r="N112" s="813" t="b">
        <f t="shared" si="28"/>
        <v>0</v>
      </c>
    </row>
    <row r="113" spans="3:14" s="808" customFormat="1" ht="14.25" hidden="1" customHeight="1">
      <c r="C113" s="810" t="b">
        <f t="shared" si="24"/>
        <v>1</v>
      </c>
      <c r="D113" s="807" t="str">
        <f>Popup_Wobbler!C124</f>
        <v>-</v>
      </c>
      <c r="E113" s="813" t="b">
        <f t="shared" si="26"/>
        <v>0</v>
      </c>
      <c r="F113" s="813" t="b">
        <f t="shared" si="28"/>
        <v>0</v>
      </c>
      <c r="G113" s="813" t="b">
        <f t="shared" si="28"/>
        <v>0</v>
      </c>
      <c r="H113" s="813" t="b">
        <f t="shared" si="28"/>
        <v>0</v>
      </c>
      <c r="I113" s="813" t="b">
        <f t="shared" si="28"/>
        <v>0</v>
      </c>
      <c r="J113" s="813" t="b">
        <f t="shared" si="28"/>
        <v>0</v>
      </c>
      <c r="K113" s="813" t="b">
        <f t="shared" si="28"/>
        <v>0</v>
      </c>
      <c r="L113" s="813" t="b">
        <f t="shared" si="28"/>
        <v>0</v>
      </c>
      <c r="M113" s="813" t="b">
        <f t="shared" si="28"/>
        <v>0</v>
      </c>
      <c r="N113" s="813" t="b">
        <f t="shared" si="28"/>
        <v>0</v>
      </c>
    </row>
    <row r="114" spans="3:14" s="808" customFormat="1" ht="14.25" hidden="1" customHeight="1">
      <c r="C114" s="810" t="b">
        <f t="shared" si="24"/>
        <v>1</v>
      </c>
      <c r="D114" s="807" t="str">
        <f>Popup_Wobbler!C125</f>
        <v>-</v>
      </c>
      <c r="E114" s="813" t="b">
        <f t="shared" si="26"/>
        <v>0</v>
      </c>
      <c r="F114" s="813" t="b">
        <f t="shared" si="28"/>
        <v>0</v>
      </c>
      <c r="G114" s="813" t="b">
        <f t="shared" si="28"/>
        <v>0</v>
      </c>
      <c r="H114" s="813" t="b">
        <f t="shared" si="28"/>
        <v>0</v>
      </c>
      <c r="I114" s="813" t="b">
        <f t="shared" si="28"/>
        <v>0</v>
      </c>
      <c r="J114" s="813" t="b">
        <f t="shared" si="28"/>
        <v>0</v>
      </c>
      <c r="K114" s="813" t="b">
        <f t="shared" si="28"/>
        <v>0</v>
      </c>
      <c r="L114" s="813" t="b">
        <f t="shared" si="28"/>
        <v>0</v>
      </c>
      <c r="M114" s="813" t="b">
        <f t="shared" si="28"/>
        <v>0</v>
      </c>
      <c r="N114" s="813" t="b">
        <f t="shared" si="28"/>
        <v>0</v>
      </c>
    </row>
    <row r="115" spans="3:14" s="808" customFormat="1" ht="14.25" hidden="1" customHeight="1">
      <c r="C115" s="810" t="b">
        <f t="shared" si="24"/>
        <v>1</v>
      </c>
      <c r="D115" s="807" t="str">
        <f>Popup_Wobbler!C126</f>
        <v>-</v>
      </c>
      <c r="E115" s="813" t="b">
        <f t="shared" si="26"/>
        <v>0</v>
      </c>
      <c r="F115" s="813" t="b">
        <f t="shared" si="28"/>
        <v>0</v>
      </c>
      <c r="G115" s="813" t="b">
        <f t="shared" si="28"/>
        <v>0</v>
      </c>
      <c r="H115" s="813" t="b">
        <f t="shared" si="28"/>
        <v>0</v>
      </c>
      <c r="I115" s="813" t="b">
        <f t="shared" si="28"/>
        <v>0</v>
      </c>
      <c r="J115" s="813" t="b">
        <f t="shared" si="28"/>
        <v>0</v>
      </c>
      <c r="K115" s="813" t="b">
        <f t="shared" si="28"/>
        <v>0</v>
      </c>
      <c r="L115" s="813" t="b">
        <f t="shared" si="28"/>
        <v>0</v>
      </c>
      <c r="M115" s="813" t="b">
        <f t="shared" si="28"/>
        <v>0</v>
      </c>
      <c r="N115" s="813" t="b">
        <f t="shared" si="28"/>
        <v>0</v>
      </c>
    </row>
    <row r="116" spans="3:14" s="808" customFormat="1" ht="14.25" hidden="1" customHeight="1">
      <c r="C116" s="810" t="b">
        <f t="shared" si="24"/>
        <v>1</v>
      </c>
      <c r="D116" s="807" t="str">
        <f>Popup_Wobbler!C127</f>
        <v>-</v>
      </c>
      <c r="E116" s="813" t="b">
        <f t="shared" ref="E116:E151" si="29">COUNTIF(E$22:E$42,$D116)&gt;0</f>
        <v>0</v>
      </c>
      <c r="F116" s="813" t="b">
        <f t="shared" ref="F116:N131" si="30">COUNTIF(F$22:F$42,$D116)&gt;0</f>
        <v>0</v>
      </c>
      <c r="G116" s="813" t="b">
        <f t="shared" si="30"/>
        <v>0</v>
      </c>
      <c r="H116" s="813" t="b">
        <f t="shared" si="30"/>
        <v>0</v>
      </c>
      <c r="I116" s="813" t="b">
        <f t="shared" si="30"/>
        <v>0</v>
      </c>
      <c r="J116" s="813" t="b">
        <f t="shared" si="30"/>
        <v>0</v>
      </c>
      <c r="K116" s="813" t="b">
        <f t="shared" si="30"/>
        <v>0</v>
      </c>
      <c r="L116" s="813" t="b">
        <f t="shared" si="30"/>
        <v>0</v>
      </c>
      <c r="M116" s="813" t="b">
        <f t="shared" si="30"/>
        <v>0</v>
      </c>
      <c r="N116" s="813" t="b">
        <f t="shared" si="30"/>
        <v>0</v>
      </c>
    </row>
    <row r="117" spans="3:14" s="808" customFormat="1" ht="14.25" hidden="1" customHeight="1">
      <c r="C117" s="810" t="b">
        <f t="shared" si="24"/>
        <v>1</v>
      </c>
      <c r="D117" s="807" t="str">
        <f>Popup_Wobbler!C128</f>
        <v>-</v>
      </c>
      <c r="E117" s="813" t="b">
        <f t="shared" si="29"/>
        <v>0</v>
      </c>
      <c r="F117" s="813" t="b">
        <f t="shared" si="30"/>
        <v>0</v>
      </c>
      <c r="G117" s="813" t="b">
        <f t="shared" si="30"/>
        <v>0</v>
      </c>
      <c r="H117" s="813" t="b">
        <f t="shared" si="30"/>
        <v>0</v>
      </c>
      <c r="I117" s="813" t="b">
        <f t="shared" si="30"/>
        <v>0</v>
      </c>
      <c r="J117" s="813" t="b">
        <f t="shared" si="30"/>
        <v>0</v>
      </c>
      <c r="K117" s="813" t="b">
        <f t="shared" si="30"/>
        <v>0</v>
      </c>
      <c r="L117" s="813" t="b">
        <f t="shared" si="30"/>
        <v>0</v>
      </c>
      <c r="M117" s="813" t="b">
        <f t="shared" si="30"/>
        <v>0</v>
      </c>
      <c r="N117" s="813" t="b">
        <f t="shared" si="30"/>
        <v>0</v>
      </c>
    </row>
    <row r="118" spans="3:14" s="808" customFormat="1" ht="14.25" hidden="1" customHeight="1">
      <c r="C118" s="810" t="b">
        <f t="shared" ref="C118:C151" si="31">IF(D118="-",TRUE,FALSE)</f>
        <v>1</v>
      </c>
      <c r="D118" s="807" t="str">
        <f>Popup_Wobbler!C129</f>
        <v>-</v>
      </c>
      <c r="E118" s="813" t="b">
        <f t="shared" si="29"/>
        <v>0</v>
      </c>
      <c r="F118" s="813" t="b">
        <f t="shared" si="30"/>
        <v>0</v>
      </c>
      <c r="G118" s="813" t="b">
        <f t="shared" si="30"/>
        <v>0</v>
      </c>
      <c r="H118" s="813" t="b">
        <f t="shared" si="30"/>
        <v>0</v>
      </c>
      <c r="I118" s="813" t="b">
        <f t="shared" si="30"/>
        <v>0</v>
      </c>
      <c r="J118" s="813" t="b">
        <f t="shared" si="30"/>
        <v>0</v>
      </c>
      <c r="K118" s="813" t="b">
        <f t="shared" si="30"/>
        <v>0</v>
      </c>
      <c r="L118" s="813" t="b">
        <f t="shared" si="30"/>
        <v>0</v>
      </c>
      <c r="M118" s="813" t="b">
        <f t="shared" si="30"/>
        <v>0</v>
      </c>
      <c r="N118" s="813" t="b">
        <f t="shared" si="30"/>
        <v>0</v>
      </c>
    </row>
    <row r="119" spans="3:14" s="808" customFormat="1" ht="14.25" hidden="1" customHeight="1">
      <c r="C119" s="810" t="b">
        <f t="shared" si="31"/>
        <v>1</v>
      </c>
      <c r="D119" s="807" t="str">
        <f>Popup_Wobbler!C130</f>
        <v>-</v>
      </c>
      <c r="E119" s="813" t="b">
        <f t="shared" si="29"/>
        <v>0</v>
      </c>
      <c r="F119" s="813" t="b">
        <f t="shared" si="30"/>
        <v>0</v>
      </c>
      <c r="G119" s="813" t="b">
        <f t="shared" si="30"/>
        <v>0</v>
      </c>
      <c r="H119" s="813" t="b">
        <f t="shared" si="30"/>
        <v>0</v>
      </c>
      <c r="I119" s="813" t="b">
        <f t="shared" si="30"/>
        <v>0</v>
      </c>
      <c r="J119" s="813" t="b">
        <f t="shared" si="30"/>
        <v>0</v>
      </c>
      <c r="K119" s="813" t="b">
        <f t="shared" si="30"/>
        <v>0</v>
      </c>
      <c r="L119" s="813" t="b">
        <f t="shared" si="30"/>
        <v>0</v>
      </c>
      <c r="M119" s="813" t="b">
        <f t="shared" si="30"/>
        <v>0</v>
      </c>
      <c r="N119" s="813" t="b">
        <f t="shared" si="30"/>
        <v>0</v>
      </c>
    </row>
    <row r="120" spans="3:14" s="808" customFormat="1" ht="14.25" hidden="1" customHeight="1">
      <c r="C120" s="810" t="b">
        <f t="shared" si="31"/>
        <v>1</v>
      </c>
      <c r="D120" s="807" t="str">
        <f>Popup_Wobbler!C131</f>
        <v>-</v>
      </c>
      <c r="E120" s="813" t="b">
        <f t="shared" si="29"/>
        <v>0</v>
      </c>
      <c r="F120" s="813" t="b">
        <f t="shared" si="30"/>
        <v>0</v>
      </c>
      <c r="G120" s="813" t="b">
        <f t="shared" si="30"/>
        <v>0</v>
      </c>
      <c r="H120" s="813" t="b">
        <f t="shared" si="30"/>
        <v>0</v>
      </c>
      <c r="I120" s="813" t="b">
        <f t="shared" si="30"/>
        <v>0</v>
      </c>
      <c r="J120" s="813" t="b">
        <f t="shared" si="30"/>
        <v>0</v>
      </c>
      <c r="K120" s="813" t="b">
        <f t="shared" si="30"/>
        <v>0</v>
      </c>
      <c r="L120" s="813" t="b">
        <f t="shared" si="30"/>
        <v>0</v>
      </c>
      <c r="M120" s="813" t="b">
        <f t="shared" si="30"/>
        <v>0</v>
      </c>
      <c r="N120" s="813" t="b">
        <f t="shared" si="30"/>
        <v>0</v>
      </c>
    </row>
    <row r="121" spans="3:14" s="808" customFormat="1" ht="14.25" hidden="1" customHeight="1">
      <c r="C121" s="810" t="b">
        <f t="shared" si="31"/>
        <v>1</v>
      </c>
      <c r="D121" s="807" t="str">
        <f>Popup_Wobbler!C132</f>
        <v>-</v>
      </c>
      <c r="E121" s="813" t="b">
        <f t="shared" si="29"/>
        <v>0</v>
      </c>
      <c r="F121" s="813" t="b">
        <f t="shared" si="30"/>
        <v>0</v>
      </c>
      <c r="G121" s="813" t="b">
        <f t="shared" si="30"/>
        <v>0</v>
      </c>
      <c r="H121" s="813" t="b">
        <f t="shared" si="30"/>
        <v>0</v>
      </c>
      <c r="I121" s="813" t="b">
        <f t="shared" si="30"/>
        <v>0</v>
      </c>
      <c r="J121" s="813" t="b">
        <f t="shared" si="30"/>
        <v>0</v>
      </c>
      <c r="K121" s="813" t="b">
        <f t="shared" si="30"/>
        <v>0</v>
      </c>
      <c r="L121" s="813" t="b">
        <f t="shared" si="30"/>
        <v>0</v>
      </c>
      <c r="M121" s="813" t="b">
        <f t="shared" si="30"/>
        <v>0</v>
      </c>
      <c r="N121" s="813" t="b">
        <f t="shared" si="30"/>
        <v>0</v>
      </c>
    </row>
    <row r="122" spans="3:14" s="808" customFormat="1" ht="14.25" hidden="1" customHeight="1">
      <c r="C122" s="810" t="b">
        <f t="shared" si="31"/>
        <v>1</v>
      </c>
      <c r="D122" s="807" t="str">
        <f>Popup_Wobbler!C133</f>
        <v>-</v>
      </c>
      <c r="E122" s="813" t="b">
        <f t="shared" si="29"/>
        <v>0</v>
      </c>
      <c r="F122" s="813" t="b">
        <f t="shared" si="30"/>
        <v>0</v>
      </c>
      <c r="G122" s="813" t="b">
        <f t="shared" si="30"/>
        <v>0</v>
      </c>
      <c r="H122" s="813" t="b">
        <f t="shared" si="30"/>
        <v>0</v>
      </c>
      <c r="I122" s="813" t="b">
        <f t="shared" si="30"/>
        <v>0</v>
      </c>
      <c r="J122" s="813" t="b">
        <f t="shared" si="30"/>
        <v>0</v>
      </c>
      <c r="K122" s="813" t="b">
        <f t="shared" si="30"/>
        <v>0</v>
      </c>
      <c r="L122" s="813" t="b">
        <f t="shared" si="30"/>
        <v>0</v>
      </c>
      <c r="M122" s="813" t="b">
        <f t="shared" si="30"/>
        <v>0</v>
      </c>
      <c r="N122" s="813" t="b">
        <f t="shared" si="30"/>
        <v>0</v>
      </c>
    </row>
    <row r="123" spans="3:14" s="808" customFormat="1" ht="14.25" hidden="1" customHeight="1">
      <c r="C123" s="810" t="b">
        <f t="shared" si="31"/>
        <v>1</v>
      </c>
      <c r="D123" s="807" t="str">
        <f>Popup_Wobbler!C134</f>
        <v>-</v>
      </c>
      <c r="E123" s="813" t="b">
        <f t="shared" si="29"/>
        <v>0</v>
      </c>
      <c r="F123" s="813" t="b">
        <f t="shared" si="30"/>
        <v>0</v>
      </c>
      <c r="G123" s="813" t="b">
        <f t="shared" si="30"/>
        <v>0</v>
      </c>
      <c r="H123" s="813" t="b">
        <f t="shared" si="30"/>
        <v>0</v>
      </c>
      <c r="I123" s="813" t="b">
        <f t="shared" si="30"/>
        <v>0</v>
      </c>
      <c r="J123" s="813" t="b">
        <f t="shared" si="30"/>
        <v>0</v>
      </c>
      <c r="K123" s="813" t="b">
        <f t="shared" si="30"/>
        <v>0</v>
      </c>
      <c r="L123" s="813" t="b">
        <f t="shared" si="30"/>
        <v>0</v>
      </c>
      <c r="M123" s="813" t="b">
        <f t="shared" si="30"/>
        <v>0</v>
      </c>
      <c r="N123" s="813" t="b">
        <f t="shared" si="30"/>
        <v>0</v>
      </c>
    </row>
    <row r="124" spans="3:14" s="808" customFormat="1" ht="14.25" hidden="1" customHeight="1">
      <c r="C124" s="810" t="b">
        <f t="shared" si="31"/>
        <v>1</v>
      </c>
      <c r="D124" s="807" t="str">
        <f>Popup_Wobbler!C135</f>
        <v>-</v>
      </c>
      <c r="E124" s="813" t="b">
        <f t="shared" si="29"/>
        <v>0</v>
      </c>
      <c r="F124" s="813" t="b">
        <f t="shared" si="30"/>
        <v>0</v>
      </c>
      <c r="G124" s="813" t="b">
        <f t="shared" si="30"/>
        <v>0</v>
      </c>
      <c r="H124" s="813" t="b">
        <f t="shared" si="30"/>
        <v>0</v>
      </c>
      <c r="I124" s="813" t="b">
        <f t="shared" si="30"/>
        <v>0</v>
      </c>
      <c r="J124" s="813" t="b">
        <f t="shared" si="30"/>
        <v>0</v>
      </c>
      <c r="K124" s="813" t="b">
        <f t="shared" si="30"/>
        <v>0</v>
      </c>
      <c r="L124" s="813" t="b">
        <f t="shared" si="30"/>
        <v>0</v>
      </c>
      <c r="M124" s="813" t="b">
        <f t="shared" si="30"/>
        <v>0</v>
      </c>
      <c r="N124" s="813" t="b">
        <f t="shared" si="30"/>
        <v>0</v>
      </c>
    </row>
    <row r="125" spans="3:14" s="808" customFormat="1" ht="14.25" hidden="1" customHeight="1">
      <c r="C125" s="810" t="b">
        <f t="shared" si="31"/>
        <v>1</v>
      </c>
      <c r="D125" s="807" t="str">
        <f>Popup_Wobbler!C136</f>
        <v>-</v>
      </c>
      <c r="E125" s="813" t="b">
        <f t="shared" si="29"/>
        <v>0</v>
      </c>
      <c r="F125" s="813" t="b">
        <f t="shared" si="30"/>
        <v>0</v>
      </c>
      <c r="G125" s="813" t="b">
        <f t="shared" si="30"/>
        <v>0</v>
      </c>
      <c r="H125" s="813" t="b">
        <f t="shared" si="30"/>
        <v>0</v>
      </c>
      <c r="I125" s="813" t="b">
        <f t="shared" si="30"/>
        <v>0</v>
      </c>
      <c r="J125" s="813" t="b">
        <f t="shared" si="30"/>
        <v>0</v>
      </c>
      <c r="K125" s="813" t="b">
        <f t="shared" si="30"/>
        <v>0</v>
      </c>
      <c r="L125" s="813" t="b">
        <f t="shared" si="30"/>
        <v>0</v>
      </c>
      <c r="M125" s="813" t="b">
        <f t="shared" si="30"/>
        <v>0</v>
      </c>
      <c r="N125" s="813" t="b">
        <f t="shared" si="30"/>
        <v>0</v>
      </c>
    </row>
    <row r="126" spans="3:14" s="808" customFormat="1" ht="14.25" hidden="1" customHeight="1">
      <c r="C126" s="810" t="b">
        <f t="shared" si="31"/>
        <v>1</v>
      </c>
      <c r="D126" s="807" t="str">
        <f>Popup_Wobbler!C137</f>
        <v>-</v>
      </c>
      <c r="E126" s="813" t="b">
        <f t="shared" si="29"/>
        <v>0</v>
      </c>
      <c r="F126" s="813" t="b">
        <f t="shared" si="30"/>
        <v>0</v>
      </c>
      <c r="G126" s="813" t="b">
        <f t="shared" si="30"/>
        <v>0</v>
      </c>
      <c r="H126" s="813" t="b">
        <f t="shared" si="30"/>
        <v>0</v>
      </c>
      <c r="I126" s="813" t="b">
        <f t="shared" si="30"/>
        <v>0</v>
      </c>
      <c r="J126" s="813" t="b">
        <f t="shared" si="30"/>
        <v>0</v>
      </c>
      <c r="K126" s="813" t="b">
        <f t="shared" si="30"/>
        <v>0</v>
      </c>
      <c r="L126" s="813" t="b">
        <f t="shared" si="30"/>
        <v>0</v>
      </c>
      <c r="M126" s="813" t="b">
        <f t="shared" si="30"/>
        <v>0</v>
      </c>
      <c r="N126" s="813" t="b">
        <f t="shared" si="30"/>
        <v>0</v>
      </c>
    </row>
    <row r="127" spans="3:14" s="808" customFormat="1" ht="14.25" hidden="1" customHeight="1">
      <c r="C127" s="810" t="b">
        <f t="shared" si="31"/>
        <v>1</v>
      </c>
      <c r="D127" s="807" t="str">
        <f>Popup_Wobbler!C138</f>
        <v>-</v>
      </c>
      <c r="E127" s="813" t="b">
        <f t="shared" si="29"/>
        <v>0</v>
      </c>
      <c r="F127" s="813" t="b">
        <f t="shared" si="30"/>
        <v>0</v>
      </c>
      <c r="G127" s="813" t="b">
        <f t="shared" si="30"/>
        <v>0</v>
      </c>
      <c r="H127" s="813" t="b">
        <f t="shared" si="30"/>
        <v>0</v>
      </c>
      <c r="I127" s="813" t="b">
        <f t="shared" si="30"/>
        <v>0</v>
      </c>
      <c r="J127" s="813" t="b">
        <f t="shared" si="30"/>
        <v>0</v>
      </c>
      <c r="K127" s="813" t="b">
        <f t="shared" si="30"/>
        <v>0</v>
      </c>
      <c r="L127" s="813" t="b">
        <f t="shared" si="30"/>
        <v>0</v>
      </c>
      <c r="M127" s="813" t="b">
        <f t="shared" si="30"/>
        <v>0</v>
      </c>
      <c r="N127" s="813" t="b">
        <f t="shared" si="30"/>
        <v>0</v>
      </c>
    </row>
    <row r="128" spans="3:14" s="808" customFormat="1" ht="14.25" hidden="1" customHeight="1">
      <c r="C128" s="810" t="b">
        <f t="shared" si="31"/>
        <v>1</v>
      </c>
      <c r="D128" s="807" t="str">
        <f>Popup_Wobbler!C139</f>
        <v>-</v>
      </c>
      <c r="E128" s="813" t="b">
        <f t="shared" si="29"/>
        <v>0</v>
      </c>
      <c r="F128" s="813" t="b">
        <f t="shared" si="30"/>
        <v>0</v>
      </c>
      <c r="G128" s="813" t="b">
        <f t="shared" si="30"/>
        <v>0</v>
      </c>
      <c r="H128" s="813" t="b">
        <f t="shared" si="30"/>
        <v>0</v>
      </c>
      <c r="I128" s="813" t="b">
        <f t="shared" si="30"/>
        <v>0</v>
      </c>
      <c r="J128" s="813" t="b">
        <f t="shared" si="30"/>
        <v>0</v>
      </c>
      <c r="K128" s="813" t="b">
        <f t="shared" si="30"/>
        <v>0</v>
      </c>
      <c r="L128" s="813" t="b">
        <f t="shared" si="30"/>
        <v>0</v>
      </c>
      <c r="M128" s="813" t="b">
        <f t="shared" si="30"/>
        <v>0</v>
      </c>
      <c r="N128" s="813" t="b">
        <f t="shared" si="30"/>
        <v>0</v>
      </c>
    </row>
    <row r="129" spans="3:14" s="808" customFormat="1" ht="14.25" hidden="1" customHeight="1">
      <c r="C129" s="810" t="b">
        <f t="shared" si="31"/>
        <v>1</v>
      </c>
      <c r="D129" s="807" t="str">
        <f>Popup_Wobbler!C140</f>
        <v>-</v>
      </c>
      <c r="E129" s="813" t="b">
        <f t="shared" si="29"/>
        <v>0</v>
      </c>
      <c r="F129" s="813" t="b">
        <f t="shared" si="30"/>
        <v>0</v>
      </c>
      <c r="G129" s="813" t="b">
        <f t="shared" si="30"/>
        <v>0</v>
      </c>
      <c r="H129" s="813" t="b">
        <f t="shared" si="30"/>
        <v>0</v>
      </c>
      <c r="I129" s="813" t="b">
        <f t="shared" si="30"/>
        <v>0</v>
      </c>
      <c r="J129" s="813" t="b">
        <f t="shared" si="30"/>
        <v>0</v>
      </c>
      <c r="K129" s="813" t="b">
        <f t="shared" si="30"/>
        <v>0</v>
      </c>
      <c r="L129" s="813" t="b">
        <f t="shared" si="30"/>
        <v>0</v>
      </c>
      <c r="M129" s="813" t="b">
        <f t="shared" si="30"/>
        <v>0</v>
      </c>
      <c r="N129" s="813" t="b">
        <f t="shared" si="30"/>
        <v>0</v>
      </c>
    </row>
    <row r="130" spans="3:14" s="808" customFormat="1" ht="14.25" hidden="1" customHeight="1">
      <c r="C130" s="810" t="b">
        <f t="shared" si="31"/>
        <v>1</v>
      </c>
      <c r="D130" s="807" t="str">
        <f>Popup_Wobbler!C141</f>
        <v>-</v>
      </c>
      <c r="E130" s="813" t="b">
        <f t="shared" si="29"/>
        <v>0</v>
      </c>
      <c r="F130" s="813" t="b">
        <f t="shared" si="30"/>
        <v>0</v>
      </c>
      <c r="G130" s="813" t="b">
        <f t="shared" si="30"/>
        <v>0</v>
      </c>
      <c r="H130" s="813" t="b">
        <f t="shared" si="30"/>
        <v>0</v>
      </c>
      <c r="I130" s="813" t="b">
        <f t="shared" si="30"/>
        <v>0</v>
      </c>
      <c r="J130" s="813" t="b">
        <f t="shared" si="30"/>
        <v>0</v>
      </c>
      <c r="K130" s="813" t="b">
        <f t="shared" si="30"/>
        <v>0</v>
      </c>
      <c r="L130" s="813" t="b">
        <f t="shared" si="30"/>
        <v>0</v>
      </c>
      <c r="M130" s="813" t="b">
        <f t="shared" si="30"/>
        <v>0</v>
      </c>
      <c r="N130" s="813" t="b">
        <f t="shared" si="30"/>
        <v>0</v>
      </c>
    </row>
    <row r="131" spans="3:14" s="808" customFormat="1" ht="14.25" hidden="1" customHeight="1">
      <c r="C131" s="810" t="b">
        <f t="shared" si="31"/>
        <v>1</v>
      </c>
      <c r="D131" s="807" t="str">
        <f>Popup_Wobbler!C142</f>
        <v>-</v>
      </c>
      <c r="E131" s="813" t="b">
        <f t="shared" si="29"/>
        <v>0</v>
      </c>
      <c r="F131" s="813" t="b">
        <f t="shared" si="30"/>
        <v>0</v>
      </c>
      <c r="G131" s="813" t="b">
        <f t="shared" si="30"/>
        <v>0</v>
      </c>
      <c r="H131" s="813" t="b">
        <f t="shared" si="30"/>
        <v>0</v>
      </c>
      <c r="I131" s="813" t="b">
        <f t="shared" si="30"/>
        <v>0</v>
      </c>
      <c r="J131" s="813" t="b">
        <f t="shared" si="30"/>
        <v>0</v>
      </c>
      <c r="K131" s="813" t="b">
        <f t="shared" si="30"/>
        <v>0</v>
      </c>
      <c r="L131" s="813" t="b">
        <f t="shared" si="30"/>
        <v>0</v>
      </c>
      <c r="M131" s="813" t="b">
        <f t="shared" si="30"/>
        <v>0</v>
      </c>
      <c r="N131" s="813" t="b">
        <f t="shared" si="30"/>
        <v>0</v>
      </c>
    </row>
    <row r="132" spans="3:14" s="808" customFormat="1" ht="14.25" hidden="1" customHeight="1">
      <c r="C132" s="810" t="b">
        <f t="shared" si="31"/>
        <v>1</v>
      </c>
      <c r="D132" s="807" t="str">
        <f>Popup_Wobbler!C143</f>
        <v>-</v>
      </c>
      <c r="E132" s="813" t="b">
        <f t="shared" si="29"/>
        <v>0</v>
      </c>
      <c r="F132" s="813" t="b">
        <f t="shared" ref="F132:N147" si="32">COUNTIF(F$22:F$42,$D132)&gt;0</f>
        <v>0</v>
      </c>
      <c r="G132" s="813" t="b">
        <f t="shared" si="32"/>
        <v>0</v>
      </c>
      <c r="H132" s="813" t="b">
        <f t="shared" si="32"/>
        <v>0</v>
      </c>
      <c r="I132" s="813" t="b">
        <f t="shared" si="32"/>
        <v>0</v>
      </c>
      <c r="J132" s="813" t="b">
        <f t="shared" si="32"/>
        <v>0</v>
      </c>
      <c r="K132" s="813" t="b">
        <f t="shared" si="32"/>
        <v>0</v>
      </c>
      <c r="L132" s="813" t="b">
        <f t="shared" si="32"/>
        <v>0</v>
      </c>
      <c r="M132" s="813" t="b">
        <f t="shared" si="32"/>
        <v>0</v>
      </c>
      <c r="N132" s="813" t="b">
        <f t="shared" si="32"/>
        <v>0</v>
      </c>
    </row>
    <row r="133" spans="3:14" s="808" customFormat="1" ht="14.25" hidden="1" customHeight="1">
      <c r="C133" s="810" t="b">
        <f t="shared" si="31"/>
        <v>1</v>
      </c>
      <c r="D133" s="807" t="str">
        <f>Popup_Wobbler!C144</f>
        <v>-</v>
      </c>
      <c r="E133" s="813" t="b">
        <f t="shared" si="29"/>
        <v>0</v>
      </c>
      <c r="F133" s="813" t="b">
        <f t="shared" si="32"/>
        <v>0</v>
      </c>
      <c r="G133" s="813" t="b">
        <f t="shared" si="32"/>
        <v>0</v>
      </c>
      <c r="H133" s="813" t="b">
        <f t="shared" si="32"/>
        <v>0</v>
      </c>
      <c r="I133" s="813" t="b">
        <f t="shared" si="32"/>
        <v>0</v>
      </c>
      <c r="J133" s="813" t="b">
        <f t="shared" si="32"/>
        <v>0</v>
      </c>
      <c r="K133" s="813" t="b">
        <f t="shared" si="32"/>
        <v>0</v>
      </c>
      <c r="L133" s="813" t="b">
        <f t="shared" si="32"/>
        <v>0</v>
      </c>
      <c r="M133" s="813" t="b">
        <f t="shared" si="32"/>
        <v>0</v>
      </c>
      <c r="N133" s="813" t="b">
        <f t="shared" si="32"/>
        <v>0</v>
      </c>
    </row>
    <row r="134" spans="3:14" s="808" customFormat="1" ht="14.25" hidden="1" customHeight="1">
      <c r="C134" s="810" t="b">
        <f t="shared" si="31"/>
        <v>1</v>
      </c>
      <c r="D134" s="807" t="str">
        <f>Popup_Wobbler!C145</f>
        <v>-</v>
      </c>
      <c r="E134" s="813" t="b">
        <f t="shared" si="29"/>
        <v>0</v>
      </c>
      <c r="F134" s="813" t="b">
        <f t="shared" si="32"/>
        <v>0</v>
      </c>
      <c r="G134" s="813" t="b">
        <f t="shared" si="32"/>
        <v>0</v>
      </c>
      <c r="H134" s="813" t="b">
        <f t="shared" si="32"/>
        <v>0</v>
      </c>
      <c r="I134" s="813" t="b">
        <f t="shared" si="32"/>
        <v>0</v>
      </c>
      <c r="J134" s="813" t="b">
        <f t="shared" si="32"/>
        <v>0</v>
      </c>
      <c r="K134" s="813" t="b">
        <f t="shared" si="32"/>
        <v>0</v>
      </c>
      <c r="L134" s="813" t="b">
        <f t="shared" si="32"/>
        <v>0</v>
      </c>
      <c r="M134" s="813" t="b">
        <f t="shared" si="32"/>
        <v>0</v>
      </c>
      <c r="N134" s="813" t="b">
        <f t="shared" si="32"/>
        <v>0</v>
      </c>
    </row>
    <row r="135" spans="3:14" s="808" customFormat="1" ht="14.25" hidden="1" customHeight="1">
      <c r="C135" s="810" t="b">
        <f t="shared" si="31"/>
        <v>1</v>
      </c>
      <c r="D135" s="807" t="str">
        <f>Popup_Wobbler!C146</f>
        <v>-</v>
      </c>
      <c r="E135" s="813" t="b">
        <f t="shared" si="29"/>
        <v>0</v>
      </c>
      <c r="F135" s="813" t="b">
        <f t="shared" si="32"/>
        <v>0</v>
      </c>
      <c r="G135" s="813" t="b">
        <f t="shared" si="32"/>
        <v>0</v>
      </c>
      <c r="H135" s="813" t="b">
        <f t="shared" si="32"/>
        <v>0</v>
      </c>
      <c r="I135" s="813" t="b">
        <f t="shared" si="32"/>
        <v>0</v>
      </c>
      <c r="J135" s="813" t="b">
        <f t="shared" si="32"/>
        <v>0</v>
      </c>
      <c r="K135" s="813" t="b">
        <f t="shared" si="32"/>
        <v>0</v>
      </c>
      <c r="L135" s="813" t="b">
        <f t="shared" si="32"/>
        <v>0</v>
      </c>
      <c r="M135" s="813" t="b">
        <f t="shared" si="32"/>
        <v>0</v>
      </c>
      <c r="N135" s="813" t="b">
        <f t="shared" si="32"/>
        <v>0</v>
      </c>
    </row>
    <row r="136" spans="3:14" s="808" customFormat="1" ht="14.25" hidden="1" customHeight="1">
      <c r="C136" s="810" t="b">
        <f t="shared" si="31"/>
        <v>1</v>
      </c>
      <c r="D136" s="807" t="str">
        <f>Popup_Wobbler!C147</f>
        <v>-</v>
      </c>
      <c r="E136" s="813" t="b">
        <f t="shared" si="29"/>
        <v>0</v>
      </c>
      <c r="F136" s="813" t="b">
        <f t="shared" si="32"/>
        <v>0</v>
      </c>
      <c r="G136" s="813" t="b">
        <f t="shared" si="32"/>
        <v>0</v>
      </c>
      <c r="H136" s="813" t="b">
        <f t="shared" si="32"/>
        <v>0</v>
      </c>
      <c r="I136" s="813" t="b">
        <f t="shared" si="32"/>
        <v>0</v>
      </c>
      <c r="J136" s="813" t="b">
        <f t="shared" si="32"/>
        <v>0</v>
      </c>
      <c r="K136" s="813" t="b">
        <f t="shared" si="32"/>
        <v>0</v>
      </c>
      <c r="L136" s="813" t="b">
        <f t="shared" si="32"/>
        <v>0</v>
      </c>
      <c r="M136" s="813" t="b">
        <f t="shared" si="32"/>
        <v>0</v>
      </c>
      <c r="N136" s="813" t="b">
        <f t="shared" si="32"/>
        <v>0</v>
      </c>
    </row>
    <row r="137" spans="3:14" s="808" customFormat="1" ht="14.25" hidden="1" customHeight="1">
      <c r="C137" s="810" t="b">
        <f t="shared" si="31"/>
        <v>1</v>
      </c>
      <c r="D137" s="807" t="str">
        <f>Popup_Wobbler!C148</f>
        <v>-</v>
      </c>
      <c r="E137" s="813" t="b">
        <f t="shared" si="29"/>
        <v>0</v>
      </c>
      <c r="F137" s="813" t="b">
        <f t="shared" si="32"/>
        <v>0</v>
      </c>
      <c r="G137" s="813" t="b">
        <f t="shared" si="32"/>
        <v>0</v>
      </c>
      <c r="H137" s="813" t="b">
        <f t="shared" si="32"/>
        <v>0</v>
      </c>
      <c r="I137" s="813" t="b">
        <f t="shared" si="32"/>
        <v>0</v>
      </c>
      <c r="J137" s="813" t="b">
        <f t="shared" si="32"/>
        <v>0</v>
      </c>
      <c r="K137" s="813" t="b">
        <f t="shared" si="32"/>
        <v>0</v>
      </c>
      <c r="L137" s="813" t="b">
        <f t="shared" si="32"/>
        <v>0</v>
      </c>
      <c r="M137" s="813" t="b">
        <f t="shared" si="32"/>
        <v>0</v>
      </c>
      <c r="N137" s="813" t="b">
        <f t="shared" si="32"/>
        <v>0</v>
      </c>
    </row>
    <row r="138" spans="3:14" s="808" customFormat="1" ht="14.25" hidden="1" customHeight="1">
      <c r="C138" s="810" t="b">
        <f t="shared" si="31"/>
        <v>1</v>
      </c>
      <c r="D138" s="807" t="str">
        <f>Popup_Wobbler!C149</f>
        <v>-</v>
      </c>
      <c r="E138" s="813" t="b">
        <f t="shared" si="29"/>
        <v>0</v>
      </c>
      <c r="F138" s="813" t="b">
        <f t="shared" si="32"/>
        <v>0</v>
      </c>
      <c r="G138" s="813" t="b">
        <f t="shared" si="32"/>
        <v>0</v>
      </c>
      <c r="H138" s="813" t="b">
        <f t="shared" si="32"/>
        <v>0</v>
      </c>
      <c r="I138" s="813" t="b">
        <f t="shared" si="32"/>
        <v>0</v>
      </c>
      <c r="J138" s="813" t="b">
        <f t="shared" si="32"/>
        <v>0</v>
      </c>
      <c r="K138" s="813" t="b">
        <f t="shared" si="32"/>
        <v>0</v>
      </c>
      <c r="L138" s="813" t="b">
        <f t="shared" si="32"/>
        <v>0</v>
      </c>
      <c r="M138" s="813" t="b">
        <f t="shared" si="32"/>
        <v>0</v>
      </c>
      <c r="N138" s="813" t="b">
        <f t="shared" si="32"/>
        <v>0</v>
      </c>
    </row>
    <row r="139" spans="3:14" s="808" customFormat="1" ht="14.25" hidden="1" customHeight="1">
      <c r="C139" s="810" t="b">
        <f t="shared" si="31"/>
        <v>1</v>
      </c>
      <c r="D139" s="807" t="str">
        <f>Popup_Wobbler!C150</f>
        <v>-</v>
      </c>
      <c r="E139" s="813" t="b">
        <f t="shared" si="29"/>
        <v>0</v>
      </c>
      <c r="F139" s="813" t="b">
        <f t="shared" si="32"/>
        <v>0</v>
      </c>
      <c r="G139" s="813" t="b">
        <f t="shared" si="32"/>
        <v>0</v>
      </c>
      <c r="H139" s="813" t="b">
        <f t="shared" si="32"/>
        <v>0</v>
      </c>
      <c r="I139" s="813" t="b">
        <f t="shared" si="32"/>
        <v>0</v>
      </c>
      <c r="J139" s="813" t="b">
        <f t="shared" si="32"/>
        <v>0</v>
      </c>
      <c r="K139" s="813" t="b">
        <f t="shared" si="32"/>
        <v>0</v>
      </c>
      <c r="L139" s="813" t="b">
        <f t="shared" si="32"/>
        <v>0</v>
      </c>
      <c r="M139" s="813" t="b">
        <f t="shared" si="32"/>
        <v>0</v>
      </c>
      <c r="N139" s="813" t="b">
        <f t="shared" si="32"/>
        <v>0</v>
      </c>
    </row>
    <row r="140" spans="3:14" s="808" customFormat="1" ht="14.25" hidden="1" customHeight="1">
      <c r="C140" s="810" t="b">
        <f t="shared" si="31"/>
        <v>1</v>
      </c>
      <c r="D140" s="807" t="s">
        <v>77</v>
      </c>
      <c r="E140" s="813" t="b">
        <f t="shared" si="29"/>
        <v>0</v>
      </c>
      <c r="F140" s="813" t="b">
        <f t="shared" si="32"/>
        <v>0</v>
      </c>
      <c r="G140" s="813" t="b">
        <f t="shared" si="32"/>
        <v>0</v>
      </c>
      <c r="H140" s="813" t="b">
        <f t="shared" si="32"/>
        <v>0</v>
      </c>
      <c r="I140" s="813" t="b">
        <f t="shared" si="32"/>
        <v>0</v>
      </c>
      <c r="J140" s="813" t="b">
        <f t="shared" si="32"/>
        <v>0</v>
      </c>
      <c r="K140" s="813" t="b">
        <f t="shared" si="32"/>
        <v>0</v>
      </c>
      <c r="L140" s="813" t="b">
        <f t="shared" si="32"/>
        <v>0</v>
      </c>
      <c r="M140" s="813" t="b">
        <f t="shared" si="32"/>
        <v>0</v>
      </c>
      <c r="N140" s="813" t="b">
        <f t="shared" si="32"/>
        <v>0</v>
      </c>
    </row>
    <row r="141" spans="3:14" s="808" customFormat="1" ht="14.25" hidden="1" customHeight="1">
      <c r="C141" s="810" t="b">
        <f t="shared" si="31"/>
        <v>1</v>
      </c>
      <c r="D141" s="807" t="s">
        <v>77</v>
      </c>
      <c r="E141" s="813" t="b">
        <f t="shared" si="29"/>
        <v>0</v>
      </c>
      <c r="F141" s="813" t="b">
        <f t="shared" si="32"/>
        <v>0</v>
      </c>
      <c r="G141" s="813" t="b">
        <f t="shared" si="32"/>
        <v>0</v>
      </c>
      <c r="H141" s="813" t="b">
        <f t="shared" si="32"/>
        <v>0</v>
      </c>
      <c r="I141" s="813" t="b">
        <f t="shared" si="32"/>
        <v>0</v>
      </c>
      <c r="J141" s="813" t="b">
        <f t="shared" si="32"/>
        <v>0</v>
      </c>
      <c r="K141" s="813" t="b">
        <f t="shared" si="32"/>
        <v>0</v>
      </c>
      <c r="L141" s="813" t="b">
        <f t="shared" si="32"/>
        <v>0</v>
      </c>
      <c r="M141" s="813" t="b">
        <f t="shared" si="32"/>
        <v>0</v>
      </c>
      <c r="N141" s="813" t="b">
        <f t="shared" si="32"/>
        <v>0</v>
      </c>
    </row>
    <row r="142" spans="3:14" s="808" customFormat="1" ht="14.25" hidden="1" customHeight="1">
      <c r="C142" s="810" t="b">
        <f t="shared" si="31"/>
        <v>1</v>
      </c>
      <c r="D142" s="807" t="s">
        <v>77</v>
      </c>
      <c r="E142" s="813" t="b">
        <f t="shared" si="29"/>
        <v>0</v>
      </c>
      <c r="F142" s="813" t="b">
        <f t="shared" si="32"/>
        <v>0</v>
      </c>
      <c r="G142" s="813" t="b">
        <f t="shared" si="32"/>
        <v>0</v>
      </c>
      <c r="H142" s="813" t="b">
        <f t="shared" si="32"/>
        <v>0</v>
      </c>
      <c r="I142" s="813" t="b">
        <f t="shared" si="32"/>
        <v>0</v>
      </c>
      <c r="J142" s="813" t="b">
        <f t="shared" si="32"/>
        <v>0</v>
      </c>
      <c r="K142" s="813" t="b">
        <f t="shared" si="32"/>
        <v>0</v>
      </c>
      <c r="L142" s="813" t="b">
        <f t="shared" si="32"/>
        <v>0</v>
      </c>
      <c r="M142" s="813" t="b">
        <f t="shared" si="32"/>
        <v>0</v>
      </c>
      <c r="N142" s="813" t="b">
        <f t="shared" si="32"/>
        <v>0</v>
      </c>
    </row>
    <row r="143" spans="3:14" s="808" customFormat="1" ht="14.25" hidden="1" customHeight="1">
      <c r="C143" s="810" t="b">
        <f t="shared" si="31"/>
        <v>1</v>
      </c>
      <c r="D143" s="807" t="s">
        <v>77</v>
      </c>
      <c r="E143" s="813" t="b">
        <f t="shared" si="29"/>
        <v>0</v>
      </c>
      <c r="F143" s="813" t="b">
        <f t="shared" si="32"/>
        <v>0</v>
      </c>
      <c r="G143" s="813" t="b">
        <f t="shared" si="32"/>
        <v>0</v>
      </c>
      <c r="H143" s="813" t="b">
        <f t="shared" si="32"/>
        <v>0</v>
      </c>
      <c r="I143" s="813" t="b">
        <f t="shared" si="32"/>
        <v>0</v>
      </c>
      <c r="J143" s="813" t="b">
        <f t="shared" si="32"/>
        <v>0</v>
      </c>
      <c r="K143" s="813" t="b">
        <f t="shared" si="32"/>
        <v>0</v>
      </c>
      <c r="L143" s="813" t="b">
        <f t="shared" si="32"/>
        <v>0</v>
      </c>
      <c r="M143" s="813" t="b">
        <f t="shared" si="32"/>
        <v>0</v>
      </c>
      <c r="N143" s="813" t="b">
        <f t="shared" si="32"/>
        <v>0</v>
      </c>
    </row>
    <row r="144" spans="3:14" s="808" customFormat="1" ht="14.25" hidden="1" customHeight="1">
      <c r="C144" s="810" t="b">
        <f t="shared" si="31"/>
        <v>1</v>
      </c>
      <c r="D144" s="807" t="s">
        <v>77</v>
      </c>
      <c r="E144" s="813" t="b">
        <f t="shared" si="29"/>
        <v>0</v>
      </c>
      <c r="F144" s="813" t="b">
        <f t="shared" si="32"/>
        <v>0</v>
      </c>
      <c r="G144" s="813" t="b">
        <f t="shared" si="32"/>
        <v>0</v>
      </c>
      <c r="H144" s="813" t="b">
        <f t="shared" si="32"/>
        <v>0</v>
      </c>
      <c r="I144" s="813" t="b">
        <f t="shared" si="32"/>
        <v>0</v>
      </c>
      <c r="J144" s="813" t="b">
        <f t="shared" si="32"/>
        <v>0</v>
      </c>
      <c r="K144" s="813" t="b">
        <f t="shared" si="32"/>
        <v>0</v>
      </c>
      <c r="L144" s="813" t="b">
        <f t="shared" si="32"/>
        <v>0</v>
      </c>
      <c r="M144" s="813" t="b">
        <f t="shared" si="32"/>
        <v>0</v>
      </c>
      <c r="N144" s="813" t="b">
        <f t="shared" si="32"/>
        <v>0</v>
      </c>
    </row>
    <row r="145" spans="3:14" s="808" customFormat="1" ht="14.25" hidden="1" customHeight="1">
      <c r="C145" s="810" t="b">
        <f t="shared" si="31"/>
        <v>1</v>
      </c>
      <c r="D145" s="807" t="s">
        <v>77</v>
      </c>
      <c r="E145" s="813" t="b">
        <f t="shared" si="29"/>
        <v>0</v>
      </c>
      <c r="F145" s="813" t="b">
        <f t="shared" si="32"/>
        <v>0</v>
      </c>
      <c r="G145" s="813" t="b">
        <f t="shared" si="32"/>
        <v>0</v>
      </c>
      <c r="H145" s="813" t="b">
        <f t="shared" si="32"/>
        <v>0</v>
      </c>
      <c r="I145" s="813" t="b">
        <f t="shared" si="32"/>
        <v>0</v>
      </c>
      <c r="J145" s="813" t="b">
        <f t="shared" si="32"/>
        <v>0</v>
      </c>
      <c r="K145" s="813" t="b">
        <f t="shared" si="32"/>
        <v>0</v>
      </c>
      <c r="L145" s="813" t="b">
        <f t="shared" si="32"/>
        <v>0</v>
      </c>
      <c r="M145" s="813" t="b">
        <f t="shared" si="32"/>
        <v>0</v>
      </c>
      <c r="N145" s="813" t="b">
        <f t="shared" si="32"/>
        <v>0</v>
      </c>
    </row>
    <row r="146" spans="3:14" s="808" customFormat="1" ht="14.25" hidden="1" customHeight="1">
      <c r="C146" s="810" t="b">
        <f t="shared" si="31"/>
        <v>1</v>
      </c>
      <c r="D146" s="807" t="s">
        <v>77</v>
      </c>
      <c r="E146" s="813" t="b">
        <f t="shared" si="29"/>
        <v>0</v>
      </c>
      <c r="F146" s="813" t="b">
        <f t="shared" si="32"/>
        <v>0</v>
      </c>
      <c r="G146" s="813" t="b">
        <f t="shared" si="32"/>
        <v>0</v>
      </c>
      <c r="H146" s="813" t="b">
        <f t="shared" si="32"/>
        <v>0</v>
      </c>
      <c r="I146" s="813" t="b">
        <f t="shared" si="32"/>
        <v>0</v>
      </c>
      <c r="J146" s="813" t="b">
        <f t="shared" si="32"/>
        <v>0</v>
      </c>
      <c r="K146" s="813" t="b">
        <f t="shared" si="32"/>
        <v>0</v>
      </c>
      <c r="L146" s="813" t="b">
        <f t="shared" si="32"/>
        <v>0</v>
      </c>
      <c r="M146" s="813" t="b">
        <f t="shared" si="32"/>
        <v>0</v>
      </c>
      <c r="N146" s="813" t="b">
        <f t="shared" si="32"/>
        <v>0</v>
      </c>
    </row>
    <row r="147" spans="3:14" s="808" customFormat="1" ht="14.25" hidden="1" customHeight="1">
      <c r="C147" s="810" t="b">
        <f t="shared" si="31"/>
        <v>1</v>
      </c>
      <c r="D147" s="807" t="s">
        <v>77</v>
      </c>
      <c r="E147" s="813" t="b">
        <f t="shared" si="29"/>
        <v>0</v>
      </c>
      <c r="F147" s="813" t="b">
        <f t="shared" si="32"/>
        <v>0</v>
      </c>
      <c r="G147" s="813" t="b">
        <f t="shared" si="32"/>
        <v>0</v>
      </c>
      <c r="H147" s="813" t="b">
        <f t="shared" si="32"/>
        <v>0</v>
      </c>
      <c r="I147" s="813" t="b">
        <f t="shared" si="32"/>
        <v>0</v>
      </c>
      <c r="J147" s="813" t="b">
        <f t="shared" si="32"/>
        <v>0</v>
      </c>
      <c r="K147" s="813" t="b">
        <f t="shared" si="32"/>
        <v>0</v>
      </c>
      <c r="L147" s="813" t="b">
        <f t="shared" si="32"/>
        <v>0</v>
      </c>
      <c r="M147" s="813" t="b">
        <f t="shared" si="32"/>
        <v>0</v>
      </c>
      <c r="N147" s="813" t="b">
        <f t="shared" si="32"/>
        <v>0</v>
      </c>
    </row>
    <row r="148" spans="3:14" s="808" customFormat="1" ht="14.25" hidden="1" customHeight="1">
      <c r="C148" s="810" t="b">
        <f t="shared" si="31"/>
        <v>1</v>
      </c>
      <c r="D148" s="807" t="s">
        <v>77</v>
      </c>
      <c r="E148" s="813" t="b">
        <f t="shared" si="29"/>
        <v>0</v>
      </c>
      <c r="F148" s="813" t="b">
        <f t="shared" ref="F148:N151" si="33">COUNTIF(F$22:F$42,$D148)&gt;0</f>
        <v>0</v>
      </c>
      <c r="G148" s="813" t="b">
        <f t="shared" si="33"/>
        <v>0</v>
      </c>
      <c r="H148" s="813" t="b">
        <f t="shared" si="33"/>
        <v>0</v>
      </c>
      <c r="I148" s="813" t="b">
        <f t="shared" si="33"/>
        <v>0</v>
      </c>
      <c r="J148" s="813" t="b">
        <f t="shared" si="33"/>
        <v>0</v>
      </c>
      <c r="K148" s="813" t="b">
        <f t="shared" si="33"/>
        <v>0</v>
      </c>
      <c r="L148" s="813" t="b">
        <f t="shared" si="33"/>
        <v>0</v>
      </c>
      <c r="M148" s="813" t="b">
        <f t="shared" si="33"/>
        <v>0</v>
      </c>
      <c r="N148" s="813" t="b">
        <f t="shared" si="33"/>
        <v>0</v>
      </c>
    </row>
    <row r="149" spans="3:14" s="808" customFormat="1" ht="14.25" hidden="1" customHeight="1">
      <c r="C149" s="810" t="b">
        <f t="shared" si="31"/>
        <v>1</v>
      </c>
      <c r="D149" s="807" t="s">
        <v>77</v>
      </c>
      <c r="E149" s="813" t="b">
        <f t="shared" si="29"/>
        <v>0</v>
      </c>
      <c r="F149" s="813" t="b">
        <f t="shared" si="33"/>
        <v>0</v>
      </c>
      <c r="G149" s="813" t="b">
        <f t="shared" si="33"/>
        <v>0</v>
      </c>
      <c r="H149" s="813" t="b">
        <f t="shared" si="33"/>
        <v>0</v>
      </c>
      <c r="I149" s="813" t="b">
        <f t="shared" si="33"/>
        <v>0</v>
      </c>
      <c r="J149" s="813" t="b">
        <f t="shared" si="33"/>
        <v>0</v>
      </c>
      <c r="K149" s="813" t="b">
        <f t="shared" si="33"/>
        <v>0</v>
      </c>
      <c r="L149" s="813" t="b">
        <f t="shared" si="33"/>
        <v>0</v>
      </c>
      <c r="M149" s="813" t="b">
        <f t="shared" si="33"/>
        <v>0</v>
      </c>
      <c r="N149" s="813" t="b">
        <f t="shared" si="33"/>
        <v>0</v>
      </c>
    </row>
    <row r="150" spans="3:14" s="808" customFormat="1" ht="14.25" hidden="1" customHeight="1">
      <c r="C150" s="810" t="b">
        <f t="shared" si="31"/>
        <v>1</v>
      </c>
      <c r="D150" s="807" t="s">
        <v>77</v>
      </c>
      <c r="E150" s="813" t="b">
        <f t="shared" si="29"/>
        <v>0</v>
      </c>
      <c r="F150" s="813" t="b">
        <f t="shared" si="33"/>
        <v>0</v>
      </c>
      <c r="G150" s="813" t="b">
        <f t="shared" si="33"/>
        <v>0</v>
      </c>
      <c r="H150" s="813" t="b">
        <f t="shared" si="33"/>
        <v>0</v>
      </c>
      <c r="I150" s="813" t="b">
        <f t="shared" si="33"/>
        <v>0</v>
      </c>
      <c r="J150" s="813" t="b">
        <f t="shared" si="33"/>
        <v>0</v>
      </c>
      <c r="K150" s="813" t="b">
        <f t="shared" si="33"/>
        <v>0</v>
      </c>
      <c r="L150" s="813" t="b">
        <f t="shared" si="33"/>
        <v>0</v>
      </c>
      <c r="M150" s="813" t="b">
        <f t="shared" si="33"/>
        <v>0</v>
      </c>
      <c r="N150" s="813" t="b">
        <f t="shared" si="33"/>
        <v>0</v>
      </c>
    </row>
    <row r="151" spans="3:14" s="808" customFormat="1" ht="14.25" hidden="1" customHeight="1">
      <c r="C151" s="810" t="b">
        <f t="shared" si="31"/>
        <v>1</v>
      </c>
      <c r="D151" s="807" t="s">
        <v>77</v>
      </c>
      <c r="E151" s="813" t="b">
        <f t="shared" si="29"/>
        <v>0</v>
      </c>
      <c r="F151" s="813" t="b">
        <f t="shared" si="33"/>
        <v>0</v>
      </c>
      <c r="G151" s="813" t="b">
        <f t="shared" si="33"/>
        <v>0</v>
      </c>
      <c r="H151" s="813" t="b">
        <f t="shared" si="33"/>
        <v>0</v>
      </c>
      <c r="I151" s="813" t="b">
        <f t="shared" si="33"/>
        <v>0</v>
      </c>
      <c r="J151" s="813" t="b">
        <f t="shared" si="33"/>
        <v>0</v>
      </c>
      <c r="K151" s="813" t="b">
        <f t="shared" si="33"/>
        <v>0</v>
      </c>
      <c r="L151" s="813" t="b">
        <f t="shared" si="33"/>
        <v>0</v>
      </c>
      <c r="M151" s="813" t="b">
        <f t="shared" si="33"/>
        <v>0</v>
      </c>
      <c r="N151" s="813" t="b">
        <f t="shared" si="33"/>
        <v>0</v>
      </c>
    </row>
    <row r="152" spans="3:14" s="808" customFormat="1" ht="14.25" customHeight="1">
      <c r="D152" s="805"/>
      <c r="E152" s="812"/>
      <c r="F152" s="812"/>
      <c r="G152" s="812"/>
      <c r="N152" s="805" t="s">
        <v>2356</v>
      </c>
    </row>
    <row r="153" spans="3:14" s="808" customFormat="1" ht="14.25" customHeight="1">
      <c r="D153" s="809"/>
    </row>
    <row r="154" spans="3:14" s="808" customFormat="1" ht="14.25" customHeight="1">
      <c r="C154" s="811" t="s">
        <v>2355</v>
      </c>
      <c r="D154" s="809"/>
      <c r="E154" s="811" t="s">
        <v>2354</v>
      </c>
    </row>
    <row r="155" spans="3:14" s="808" customFormat="1" ht="14.25" customHeight="1">
      <c r="C155" s="810" t="b">
        <v>0</v>
      </c>
      <c r="D155" s="807" t="str">
        <f t="shared" ref="D155:D186" si="34">D52</f>
        <v>1A</v>
      </c>
      <c r="E155" s="806">
        <f>IF(ISERROR(MATCH($D155,E$22:E$42,0)),0,INDEX($C$22:$C$42,MATCH($D155,E$22:E$42,0)))</f>
        <v>0</v>
      </c>
      <c r="F155" s="806">
        <f t="shared" ref="F155:N170" si="35">IF(ISERROR(MATCH($D155,F$22:F$42,0)),0,INDEX($C$22:$C$42,MATCH($D155,F$22:F$42,0)))</f>
        <v>0</v>
      </c>
      <c r="G155" s="806">
        <f t="shared" si="35"/>
        <v>0</v>
      </c>
      <c r="H155" s="806">
        <f t="shared" si="35"/>
        <v>0</v>
      </c>
      <c r="I155" s="806">
        <f t="shared" si="35"/>
        <v>0</v>
      </c>
      <c r="J155" s="806">
        <f t="shared" si="35"/>
        <v>0</v>
      </c>
      <c r="K155" s="806">
        <f t="shared" si="35"/>
        <v>0</v>
      </c>
      <c r="L155" s="806">
        <f t="shared" si="35"/>
        <v>0</v>
      </c>
      <c r="M155" s="806">
        <f t="shared" si="35"/>
        <v>0</v>
      </c>
      <c r="N155" s="806">
        <f t="shared" si="35"/>
        <v>0</v>
      </c>
    </row>
    <row r="156" spans="3:14" s="808" customFormat="1" ht="14.25" customHeight="1">
      <c r="C156" s="810" t="b">
        <f t="shared" ref="C156:C219" si="36">IF(D156="-",TRUE,FALSE)</f>
        <v>0</v>
      </c>
      <c r="D156" s="807" t="str">
        <f t="shared" si="34"/>
        <v>1B</v>
      </c>
      <c r="E156" s="806">
        <f t="shared" ref="E156:N171" si="37">IF(ISERROR(MATCH($D156,E$22:E$42,0)),0,INDEX($C$22:$C$42,MATCH($D156,E$22:E$42,0)))</f>
        <v>0</v>
      </c>
      <c r="F156" s="806">
        <f t="shared" si="35"/>
        <v>0</v>
      </c>
      <c r="G156" s="806">
        <f t="shared" si="35"/>
        <v>0</v>
      </c>
      <c r="H156" s="806">
        <f t="shared" si="35"/>
        <v>0</v>
      </c>
      <c r="I156" s="806">
        <f t="shared" si="35"/>
        <v>0</v>
      </c>
      <c r="J156" s="806">
        <f t="shared" si="35"/>
        <v>0</v>
      </c>
      <c r="K156" s="806">
        <f t="shared" si="35"/>
        <v>0</v>
      </c>
      <c r="L156" s="806">
        <f t="shared" si="35"/>
        <v>0</v>
      </c>
      <c r="M156" s="806">
        <f t="shared" si="35"/>
        <v>0</v>
      </c>
      <c r="N156" s="806">
        <f t="shared" si="35"/>
        <v>0</v>
      </c>
    </row>
    <row r="157" spans="3:14" s="808" customFormat="1" ht="14.25" customHeight="1">
      <c r="C157" s="810" t="b">
        <f t="shared" si="36"/>
        <v>0</v>
      </c>
      <c r="D157" s="807" t="str">
        <f t="shared" si="34"/>
        <v>2A</v>
      </c>
      <c r="E157" s="806">
        <f t="shared" si="37"/>
        <v>0</v>
      </c>
      <c r="F157" s="806">
        <f t="shared" si="35"/>
        <v>0</v>
      </c>
      <c r="G157" s="806">
        <f t="shared" si="35"/>
        <v>0</v>
      </c>
      <c r="H157" s="806">
        <f t="shared" si="35"/>
        <v>0</v>
      </c>
      <c r="I157" s="806">
        <f t="shared" si="35"/>
        <v>0</v>
      </c>
      <c r="J157" s="806">
        <f t="shared" si="35"/>
        <v>0</v>
      </c>
      <c r="K157" s="806">
        <f t="shared" si="35"/>
        <v>0</v>
      </c>
      <c r="L157" s="806">
        <f t="shared" si="35"/>
        <v>0</v>
      </c>
      <c r="M157" s="806">
        <f t="shared" si="35"/>
        <v>0</v>
      </c>
      <c r="N157" s="806">
        <f t="shared" si="35"/>
        <v>0</v>
      </c>
    </row>
    <row r="158" spans="3:14" s="808" customFormat="1" ht="14.25" customHeight="1">
      <c r="C158" s="810" t="b">
        <f t="shared" si="36"/>
        <v>0</v>
      </c>
      <c r="D158" s="807" t="str">
        <f t="shared" si="34"/>
        <v>2B</v>
      </c>
      <c r="E158" s="806">
        <f t="shared" si="37"/>
        <v>0</v>
      </c>
      <c r="F158" s="806">
        <f t="shared" si="35"/>
        <v>0</v>
      </c>
      <c r="G158" s="806">
        <f t="shared" si="35"/>
        <v>0</v>
      </c>
      <c r="H158" s="806">
        <f t="shared" si="35"/>
        <v>0</v>
      </c>
      <c r="I158" s="806">
        <f t="shared" si="35"/>
        <v>0</v>
      </c>
      <c r="J158" s="806">
        <f t="shared" si="35"/>
        <v>0</v>
      </c>
      <c r="K158" s="806">
        <f t="shared" si="35"/>
        <v>0</v>
      </c>
      <c r="L158" s="806">
        <f t="shared" si="35"/>
        <v>0</v>
      </c>
      <c r="M158" s="806">
        <f t="shared" si="35"/>
        <v>0</v>
      </c>
      <c r="N158" s="806">
        <f t="shared" si="35"/>
        <v>0</v>
      </c>
    </row>
    <row r="159" spans="3:14" s="808" customFormat="1" ht="14.25" customHeight="1">
      <c r="C159" s="810" t="b">
        <f t="shared" si="36"/>
        <v>0</v>
      </c>
      <c r="D159" s="807" t="str">
        <f t="shared" si="34"/>
        <v>2C</v>
      </c>
      <c r="E159" s="806">
        <f t="shared" si="37"/>
        <v>0</v>
      </c>
      <c r="F159" s="806">
        <f t="shared" si="35"/>
        <v>0</v>
      </c>
      <c r="G159" s="806">
        <f t="shared" si="35"/>
        <v>0</v>
      </c>
      <c r="H159" s="806">
        <f t="shared" si="35"/>
        <v>0</v>
      </c>
      <c r="I159" s="806">
        <f t="shared" si="35"/>
        <v>0</v>
      </c>
      <c r="J159" s="806">
        <f t="shared" si="35"/>
        <v>0</v>
      </c>
      <c r="K159" s="806">
        <f t="shared" si="35"/>
        <v>0</v>
      </c>
      <c r="L159" s="806">
        <f t="shared" si="35"/>
        <v>0</v>
      </c>
      <c r="M159" s="806">
        <f t="shared" si="35"/>
        <v>0</v>
      </c>
      <c r="N159" s="806">
        <f t="shared" si="35"/>
        <v>0</v>
      </c>
    </row>
    <row r="160" spans="3:14" s="808" customFormat="1" ht="14.25" customHeight="1">
      <c r="C160" s="810" t="b">
        <f t="shared" si="36"/>
        <v>0</v>
      </c>
      <c r="D160" s="807" t="str">
        <f t="shared" si="34"/>
        <v>3A</v>
      </c>
      <c r="E160" s="806">
        <f t="shared" si="37"/>
        <v>0</v>
      </c>
      <c r="F160" s="806">
        <f t="shared" si="35"/>
        <v>0</v>
      </c>
      <c r="G160" s="806">
        <f t="shared" si="35"/>
        <v>0</v>
      </c>
      <c r="H160" s="806">
        <f t="shared" si="35"/>
        <v>0</v>
      </c>
      <c r="I160" s="806">
        <f t="shared" si="35"/>
        <v>0</v>
      </c>
      <c r="J160" s="806">
        <f t="shared" si="35"/>
        <v>0</v>
      </c>
      <c r="K160" s="806">
        <f t="shared" si="35"/>
        <v>0</v>
      </c>
      <c r="L160" s="806">
        <f t="shared" si="35"/>
        <v>0</v>
      </c>
      <c r="M160" s="806">
        <f t="shared" si="35"/>
        <v>0</v>
      </c>
      <c r="N160" s="806">
        <f t="shared" si="35"/>
        <v>0</v>
      </c>
    </row>
    <row r="161" spans="3:14" s="808" customFormat="1" ht="14.25" customHeight="1">
      <c r="C161" s="810" t="b">
        <f t="shared" si="36"/>
        <v>0</v>
      </c>
      <c r="D161" s="807" t="str">
        <f t="shared" si="34"/>
        <v>3B</v>
      </c>
      <c r="E161" s="806">
        <f t="shared" si="37"/>
        <v>0</v>
      </c>
      <c r="F161" s="806">
        <f t="shared" si="35"/>
        <v>0</v>
      </c>
      <c r="G161" s="806">
        <f t="shared" si="35"/>
        <v>0</v>
      </c>
      <c r="H161" s="806">
        <f t="shared" si="35"/>
        <v>0</v>
      </c>
      <c r="I161" s="806">
        <f t="shared" si="35"/>
        <v>0</v>
      </c>
      <c r="J161" s="806">
        <f t="shared" si="35"/>
        <v>0</v>
      </c>
      <c r="K161" s="806">
        <f t="shared" si="35"/>
        <v>0</v>
      </c>
      <c r="L161" s="806">
        <f t="shared" si="35"/>
        <v>0</v>
      </c>
      <c r="M161" s="806">
        <f t="shared" si="35"/>
        <v>0</v>
      </c>
      <c r="N161" s="806">
        <f t="shared" si="35"/>
        <v>0</v>
      </c>
    </row>
    <row r="162" spans="3:14" s="808" customFormat="1" ht="14.25" hidden="1" customHeight="1">
      <c r="C162" s="810" t="b">
        <f t="shared" si="36"/>
        <v>1</v>
      </c>
      <c r="D162" s="807" t="str">
        <f t="shared" si="34"/>
        <v>-</v>
      </c>
      <c r="E162" s="806">
        <f t="shared" si="37"/>
        <v>0</v>
      </c>
      <c r="F162" s="806">
        <f t="shared" si="35"/>
        <v>0</v>
      </c>
      <c r="G162" s="806">
        <f t="shared" si="35"/>
        <v>0</v>
      </c>
      <c r="H162" s="806">
        <f t="shared" si="35"/>
        <v>0</v>
      </c>
      <c r="I162" s="806">
        <f t="shared" si="35"/>
        <v>0</v>
      </c>
      <c r="J162" s="806">
        <f t="shared" si="35"/>
        <v>0</v>
      </c>
      <c r="K162" s="806">
        <f t="shared" si="35"/>
        <v>0</v>
      </c>
      <c r="L162" s="806">
        <f t="shared" si="35"/>
        <v>0</v>
      </c>
      <c r="M162" s="806">
        <f t="shared" si="35"/>
        <v>0</v>
      </c>
      <c r="N162" s="806">
        <f t="shared" si="35"/>
        <v>0</v>
      </c>
    </row>
    <row r="163" spans="3:14" s="808" customFormat="1" ht="14.25" hidden="1" customHeight="1">
      <c r="C163" s="810" t="b">
        <f t="shared" si="36"/>
        <v>1</v>
      </c>
      <c r="D163" s="807" t="str">
        <f t="shared" si="34"/>
        <v>-</v>
      </c>
      <c r="E163" s="806">
        <f t="shared" si="37"/>
        <v>0</v>
      </c>
      <c r="F163" s="806">
        <f t="shared" si="35"/>
        <v>0</v>
      </c>
      <c r="G163" s="806">
        <f t="shared" si="35"/>
        <v>0</v>
      </c>
      <c r="H163" s="806">
        <f t="shared" si="35"/>
        <v>0</v>
      </c>
      <c r="I163" s="806">
        <f t="shared" si="35"/>
        <v>0</v>
      </c>
      <c r="J163" s="806">
        <f t="shared" si="35"/>
        <v>0</v>
      </c>
      <c r="K163" s="806">
        <f t="shared" si="35"/>
        <v>0</v>
      </c>
      <c r="L163" s="806">
        <f t="shared" si="35"/>
        <v>0</v>
      </c>
      <c r="M163" s="806">
        <f t="shared" si="35"/>
        <v>0</v>
      </c>
      <c r="N163" s="806">
        <f t="shared" si="35"/>
        <v>0</v>
      </c>
    </row>
    <row r="164" spans="3:14" s="808" customFormat="1" ht="14.25" hidden="1" customHeight="1">
      <c r="C164" s="810" t="b">
        <f t="shared" si="36"/>
        <v>1</v>
      </c>
      <c r="D164" s="807" t="str">
        <f t="shared" si="34"/>
        <v>-</v>
      </c>
      <c r="E164" s="806">
        <f t="shared" si="37"/>
        <v>0</v>
      </c>
      <c r="F164" s="806">
        <f t="shared" si="35"/>
        <v>0</v>
      </c>
      <c r="G164" s="806">
        <f t="shared" si="35"/>
        <v>0</v>
      </c>
      <c r="H164" s="806">
        <f t="shared" si="35"/>
        <v>0</v>
      </c>
      <c r="I164" s="806">
        <f t="shared" si="35"/>
        <v>0</v>
      </c>
      <c r="J164" s="806">
        <f t="shared" si="35"/>
        <v>0</v>
      </c>
      <c r="K164" s="806">
        <f t="shared" si="35"/>
        <v>0</v>
      </c>
      <c r="L164" s="806">
        <f t="shared" si="35"/>
        <v>0</v>
      </c>
      <c r="M164" s="806">
        <f t="shared" si="35"/>
        <v>0</v>
      </c>
      <c r="N164" s="806">
        <f t="shared" si="35"/>
        <v>0</v>
      </c>
    </row>
    <row r="165" spans="3:14" s="808" customFormat="1" ht="14.25" hidden="1" customHeight="1">
      <c r="C165" s="810" t="b">
        <f t="shared" si="36"/>
        <v>1</v>
      </c>
      <c r="D165" s="807" t="str">
        <f t="shared" si="34"/>
        <v>-</v>
      </c>
      <c r="E165" s="806">
        <f t="shared" si="37"/>
        <v>0</v>
      </c>
      <c r="F165" s="806">
        <f t="shared" si="35"/>
        <v>0</v>
      </c>
      <c r="G165" s="806">
        <f t="shared" si="35"/>
        <v>0</v>
      </c>
      <c r="H165" s="806">
        <f t="shared" si="35"/>
        <v>0</v>
      </c>
      <c r="I165" s="806">
        <f t="shared" si="35"/>
        <v>0</v>
      </c>
      <c r="J165" s="806">
        <f t="shared" si="35"/>
        <v>0</v>
      </c>
      <c r="K165" s="806">
        <f t="shared" si="35"/>
        <v>0</v>
      </c>
      <c r="L165" s="806">
        <f t="shared" si="35"/>
        <v>0</v>
      </c>
      <c r="M165" s="806">
        <f t="shared" si="35"/>
        <v>0</v>
      </c>
      <c r="N165" s="806">
        <f t="shared" si="35"/>
        <v>0</v>
      </c>
    </row>
    <row r="166" spans="3:14" s="808" customFormat="1" ht="14.25" hidden="1" customHeight="1">
      <c r="C166" s="810" t="b">
        <f t="shared" si="36"/>
        <v>1</v>
      </c>
      <c r="D166" s="807" t="str">
        <f t="shared" si="34"/>
        <v>-</v>
      </c>
      <c r="E166" s="806">
        <f t="shared" si="37"/>
        <v>0</v>
      </c>
      <c r="F166" s="806">
        <f t="shared" si="35"/>
        <v>0</v>
      </c>
      <c r="G166" s="806">
        <f t="shared" si="35"/>
        <v>0</v>
      </c>
      <c r="H166" s="806">
        <f t="shared" si="35"/>
        <v>0</v>
      </c>
      <c r="I166" s="806">
        <f t="shared" si="35"/>
        <v>0</v>
      </c>
      <c r="J166" s="806">
        <f t="shared" si="35"/>
        <v>0</v>
      </c>
      <c r="K166" s="806">
        <f t="shared" si="35"/>
        <v>0</v>
      </c>
      <c r="L166" s="806">
        <f t="shared" si="35"/>
        <v>0</v>
      </c>
      <c r="M166" s="806">
        <f t="shared" si="35"/>
        <v>0</v>
      </c>
      <c r="N166" s="806">
        <f t="shared" si="35"/>
        <v>0</v>
      </c>
    </row>
    <row r="167" spans="3:14" s="808" customFormat="1" ht="14.25" hidden="1" customHeight="1">
      <c r="C167" s="810" t="b">
        <f t="shared" si="36"/>
        <v>1</v>
      </c>
      <c r="D167" s="807" t="str">
        <f t="shared" si="34"/>
        <v>-</v>
      </c>
      <c r="E167" s="806">
        <f t="shared" si="37"/>
        <v>0</v>
      </c>
      <c r="F167" s="806">
        <f t="shared" si="35"/>
        <v>0</v>
      </c>
      <c r="G167" s="806">
        <f t="shared" si="35"/>
        <v>0</v>
      </c>
      <c r="H167" s="806">
        <f t="shared" si="35"/>
        <v>0</v>
      </c>
      <c r="I167" s="806">
        <f t="shared" si="35"/>
        <v>0</v>
      </c>
      <c r="J167" s="806">
        <f t="shared" si="35"/>
        <v>0</v>
      </c>
      <c r="K167" s="806">
        <f t="shared" si="35"/>
        <v>0</v>
      </c>
      <c r="L167" s="806">
        <f t="shared" si="35"/>
        <v>0</v>
      </c>
      <c r="M167" s="806">
        <f t="shared" si="35"/>
        <v>0</v>
      </c>
      <c r="N167" s="806">
        <f t="shared" si="35"/>
        <v>0</v>
      </c>
    </row>
    <row r="168" spans="3:14" s="808" customFormat="1" ht="14.25" hidden="1" customHeight="1">
      <c r="C168" s="810" t="b">
        <f t="shared" si="36"/>
        <v>1</v>
      </c>
      <c r="D168" s="807" t="str">
        <f t="shared" si="34"/>
        <v>-</v>
      </c>
      <c r="E168" s="806">
        <f t="shared" si="37"/>
        <v>0</v>
      </c>
      <c r="F168" s="806">
        <f t="shared" si="35"/>
        <v>0</v>
      </c>
      <c r="G168" s="806">
        <f t="shared" si="35"/>
        <v>0</v>
      </c>
      <c r="H168" s="806">
        <f t="shared" si="35"/>
        <v>0</v>
      </c>
      <c r="I168" s="806">
        <f t="shared" si="35"/>
        <v>0</v>
      </c>
      <c r="J168" s="806">
        <f t="shared" si="35"/>
        <v>0</v>
      </c>
      <c r="K168" s="806">
        <f t="shared" si="35"/>
        <v>0</v>
      </c>
      <c r="L168" s="806">
        <f t="shared" si="35"/>
        <v>0</v>
      </c>
      <c r="M168" s="806">
        <f t="shared" si="35"/>
        <v>0</v>
      </c>
      <c r="N168" s="806">
        <f t="shared" si="35"/>
        <v>0</v>
      </c>
    </row>
    <row r="169" spans="3:14" s="808" customFormat="1" ht="14.25" hidden="1" customHeight="1">
      <c r="C169" s="810" t="b">
        <f t="shared" si="36"/>
        <v>1</v>
      </c>
      <c r="D169" s="807" t="str">
        <f t="shared" si="34"/>
        <v>-</v>
      </c>
      <c r="E169" s="806">
        <f t="shared" si="37"/>
        <v>0</v>
      </c>
      <c r="F169" s="806">
        <f t="shared" si="35"/>
        <v>0</v>
      </c>
      <c r="G169" s="806">
        <f t="shared" si="35"/>
        <v>0</v>
      </c>
      <c r="H169" s="806">
        <f t="shared" si="35"/>
        <v>0</v>
      </c>
      <c r="I169" s="806">
        <f t="shared" si="35"/>
        <v>0</v>
      </c>
      <c r="J169" s="806">
        <f t="shared" si="35"/>
        <v>0</v>
      </c>
      <c r="K169" s="806">
        <f t="shared" si="35"/>
        <v>0</v>
      </c>
      <c r="L169" s="806">
        <f t="shared" si="35"/>
        <v>0</v>
      </c>
      <c r="M169" s="806">
        <f t="shared" si="35"/>
        <v>0</v>
      </c>
      <c r="N169" s="806">
        <f t="shared" si="35"/>
        <v>0</v>
      </c>
    </row>
    <row r="170" spans="3:14" s="808" customFormat="1" ht="14.25" hidden="1" customHeight="1">
      <c r="C170" s="810" t="b">
        <f t="shared" si="36"/>
        <v>1</v>
      </c>
      <c r="D170" s="807" t="str">
        <f t="shared" si="34"/>
        <v>-</v>
      </c>
      <c r="E170" s="806">
        <f t="shared" si="37"/>
        <v>0</v>
      </c>
      <c r="F170" s="806">
        <f t="shared" si="35"/>
        <v>0</v>
      </c>
      <c r="G170" s="806">
        <f t="shared" si="35"/>
        <v>0</v>
      </c>
      <c r="H170" s="806">
        <f t="shared" si="35"/>
        <v>0</v>
      </c>
      <c r="I170" s="806">
        <f t="shared" si="35"/>
        <v>0</v>
      </c>
      <c r="J170" s="806">
        <f t="shared" si="35"/>
        <v>0</v>
      </c>
      <c r="K170" s="806">
        <f t="shared" si="35"/>
        <v>0</v>
      </c>
      <c r="L170" s="806">
        <f t="shared" si="35"/>
        <v>0</v>
      </c>
      <c r="M170" s="806">
        <f t="shared" si="35"/>
        <v>0</v>
      </c>
      <c r="N170" s="806">
        <f t="shared" si="35"/>
        <v>0</v>
      </c>
    </row>
    <row r="171" spans="3:14" s="808" customFormat="1" ht="14.25" hidden="1" customHeight="1">
      <c r="C171" s="810" t="b">
        <f t="shared" si="36"/>
        <v>1</v>
      </c>
      <c r="D171" s="807" t="str">
        <f t="shared" si="34"/>
        <v>-</v>
      </c>
      <c r="E171" s="806">
        <f>IF(ISERROR(MATCH($D171,E$22:E$42,0)),0,INDEX($C$22:$C$42,MATCH($D171,E$22:E$42,0)))</f>
        <v>0</v>
      </c>
      <c r="F171" s="806">
        <f t="shared" si="37"/>
        <v>0</v>
      </c>
      <c r="G171" s="806">
        <f t="shared" si="37"/>
        <v>0</v>
      </c>
      <c r="H171" s="806">
        <f t="shared" si="37"/>
        <v>0</v>
      </c>
      <c r="I171" s="806">
        <f t="shared" si="37"/>
        <v>0</v>
      </c>
      <c r="J171" s="806">
        <f t="shared" si="37"/>
        <v>0</v>
      </c>
      <c r="K171" s="806">
        <f t="shared" si="37"/>
        <v>0</v>
      </c>
      <c r="L171" s="806">
        <f t="shared" si="37"/>
        <v>0</v>
      </c>
      <c r="M171" s="806">
        <f t="shared" si="37"/>
        <v>0</v>
      </c>
      <c r="N171" s="806">
        <f t="shared" si="37"/>
        <v>0</v>
      </c>
    </row>
    <row r="172" spans="3:14" s="808" customFormat="1" ht="14.25" hidden="1" customHeight="1">
      <c r="C172" s="810" t="b">
        <f t="shared" si="36"/>
        <v>1</v>
      </c>
      <c r="D172" s="807" t="str">
        <f t="shared" si="34"/>
        <v>-</v>
      </c>
      <c r="E172" s="806">
        <f t="shared" ref="E172:N187" si="38">IF(ISERROR(MATCH($D172,E$22:E$42,0)),0,INDEX($C$22:$C$42,MATCH($D172,E$22:E$42,0)))</f>
        <v>0</v>
      </c>
      <c r="F172" s="806">
        <f t="shared" si="38"/>
        <v>0</v>
      </c>
      <c r="G172" s="806">
        <f t="shared" si="38"/>
        <v>0</v>
      </c>
      <c r="H172" s="806">
        <f t="shared" si="38"/>
        <v>0</v>
      </c>
      <c r="I172" s="806">
        <f t="shared" si="38"/>
        <v>0</v>
      </c>
      <c r="J172" s="806">
        <f t="shared" si="38"/>
        <v>0</v>
      </c>
      <c r="K172" s="806">
        <f t="shared" si="38"/>
        <v>0</v>
      </c>
      <c r="L172" s="806">
        <f t="shared" si="38"/>
        <v>0</v>
      </c>
      <c r="M172" s="806">
        <f t="shared" si="38"/>
        <v>0</v>
      </c>
      <c r="N172" s="806">
        <f t="shared" si="38"/>
        <v>0</v>
      </c>
    </row>
    <row r="173" spans="3:14" s="808" customFormat="1" ht="14.25" hidden="1" customHeight="1">
      <c r="C173" s="810" t="b">
        <f t="shared" si="36"/>
        <v>1</v>
      </c>
      <c r="D173" s="807" t="str">
        <f t="shared" si="34"/>
        <v>-</v>
      </c>
      <c r="E173" s="806">
        <f t="shared" si="38"/>
        <v>0</v>
      </c>
      <c r="F173" s="806">
        <f t="shared" si="38"/>
        <v>0</v>
      </c>
      <c r="G173" s="806">
        <f t="shared" si="38"/>
        <v>0</v>
      </c>
      <c r="H173" s="806">
        <f t="shared" si="38"/>
        <v>0</v>
      </c>
      <c r="I173" s="806">
        <f t="shared" si="38"/>
        <v>0</v>
      </c>
      <c r="J173" s="806">
        <f t="shared" si="38"/>
        <v>0</v>
      </c>
      <c r="K173" s="806">
        <f t="shared" si="38"/>
        <v>0</v>
      </c>
      <c r="L173" s="806">
        <f t="shared" si="38"/>
        <v>0</v>
      </c>
      <c r="M173" s="806">
        <f t="shared" si="38"/>
        <v>0</v>
      </c>
      <c r="N173" s="806">
        <f t="shared" si="38"/>
        <v>0</v>
      </c>
    </row>
    <row r="174" spans="3:14" s="808" customFormat="1" ht="14.25" hidden="1" customHeight="1">
      <c r="C174" s="810" t="b">
        <f t="shared" si="36"/>
        <v>1</v>
      </c>
      <c r="D174" s="807" t="str">
        <f t="shared" si="34"/>
        <v>-</v>
      </c>
      <c r="E174" s="806">
        <f t="shared" si="38"/>
        <v>0</v>
      </c>
      <c r="F174" s="806">
        <f t="shared" si="38"/>
        <v>0</v>
      </c>
      <c r="G174" s="806">
        <f t="shared" si="38"/>
        <v>0</v>
      </c>
      <c r="H174" s="806">
        <f t="shared" si="38"/>
        <v>0</v>
      </c>
      <c r="I174" s="806">
        <f t="shared" si="38"/>
        <v>0</v>
      </c>
      <c r="J174" s="806">
        <f t="shared" si="38"/>
        <v>0</v>
      </c>
      <c r="K174" s="806">
        <f t="shared" si="38"/>
        <v>0</v>
      </c>
      <c r="L174" s="806">
        <f t="shared" si="38"/>
        <v>0</v>
      </c>
      <c r="M174" s="806">
        <f t="shared" si="38"/>
        <v>0</v>
      </c>
      <c r="N174" s="806">
        <f t="shared" si="38"/>
        <v>0</v>
      </c>
    </row>
    <row r="175" spans="3:14" s="808" customFormat="1" ht="14.25" hidden="1" customHeight="1">
      <c r="C175" s="810" t="b">
        <f t="shared" si="36"/>
        <v>1</v>
      </c>
      <c r="D175" s="807" t="str">
        <f t="shared" si="34"/>
        <v>-</v>
      </c>
      <c r="E175" s="806">
        <f t="shared" si="38"/>
        <v>0</v>
      </c>
      <c r="F175" s="806">
        <f t="shared" si="38"/>
        <v>0</v>
      </c>
      <c r="G175" s="806">
        <f t="shared" si="38"/>
        <v>0</v>
      </c>
      <c r="H175" s="806">
        <f t="shared" si="38"/>
        <v>0</v>
      </c>
      <c r="I175" s="806">
        <f t="shared" si="38"/>
        <v>0</v>
      </c>
      <c r="J175" s="806">
        <f t="shared" si="38"/>
        <v>0</v>
      </c>
      <c r="K175" s="806">
        <f t="shared" si="38"/>
        <v>0</v>
      </c>
      <c r="L175" s="806">
        <f t="shared" si="38"/>
        <v>0</v>
      </c>
      <c r="M175" s="806">
        <f t="shared" si="38"/>
        <v>0</v>
      </c>
      <c r="N175" s="806">
        <f t="shared" si="38"/>
        <v>0</v>
      </c>
    </row>
    <row r="176" spans="3:14" s="808" customFormat="1" ht="14.25" hidden="1" customHeight="1">
      <c r="C176" s="810" t="b">
        <f t="shared" si="36"/>
        <v>1</v>
      </c>
      <c r="D176" s="807" t="str">
        <f t="shared" si="34"/>
        <v>-</v>
      </c>
      <c r="E176" s="806">
        <f t="shared" si="38"/>
        <v>0</v>
      </c>
      <c r="F176" s="806">
        <f t="shared" si="38"/>
        <v>0</v>
      </c>
      <c r="G176" s="806">
        <f t="shared" si="38"/>
        <v>0</v>
      </c>
      <c r="H176" s="806">
        <f t="shared" si="38"/>
        <v>0</v>
      </c>
      <c r="I176" s="806">
        <f t="shared" si="38"/>
        <v>0</v>
      </c>
      <c r="J176" s="806">
        <f t="shared" si="38"/>
        <v>0</v>
      </c>
      <c r="K176" s="806">
        <f t="shared" si="38"/>
        <v>0</v>
      </c>
      <c r="L176" s="806">
        <f t="shared" si="38"/>
        <v>0</v>
      </c>
      <c r="M176" s="806">
        <f t="shared" si="38"/>
        <v>0</v>
      </c>
      <c r="N176" s="806">
        <f t="shared" si="38"/>
        <v>0</v>
      </c>
    </row>
    <row r="177" spans="2:14" s="808" customFormat="1" ht="14.25" hidden="1" customHeight="1">
      <c r="C177" s="810" t="b">
        <f t="shared" si="36"/>
        <v>1</v>
      </c>
      <c r="D177" s="807" t="str">
        <f t="shared" si="34"/>
        <v>-</v>
      </c>
      <c r="E177" s="806">
        <f t="shared" si="38"/>
        <v>0</v>
      </c>
      <c r="F177" s="806">
        <f t="shared" si="38"/>
        <v>0</v>
      </c>
      <c r="G177" s="806">
        <f t="shared" si="38"/>
        <v>0</v>
      </c>
      <c r="H177" s="806">
        <f t="shared" si="38"/>
        <v>0</v>
      </c>
      <c r="I177" s="806">
        <f t="shared" si="38"/>
        <v>0</v>
      </c>
      <c r="J177" s="806">
        <f t="shared" si="38"/>
        <v>0</v>
      </c>
      <c r="K177" s="806">
        <f t="shared" si="38"/>
        <v>0</v>
      </c>
      <c r="L177" s="806">
        <f t="shared" si="38"/>
        <v>0</v>
      </c>
      <c r="M177" s="806">
        <f t="shared" si="38"/>
        <v>0</v>
      </c>
      <c r="N177" s="806">
        <f t="shared" si="38"/>
        <v>0</v>
      </c>
    </row>
    <row r="178" spans="2:14" s="808" customFormat="1" ht="14.25" hidden="1" customHeight="1">
      <c r="C178" s="810" t="b">
        <f t="shared" si="36"/>
        <v>1</v>
      </c>
      <c r="D178" s="807" t="str">
        <f t="shared" si="34"/>
        <v>-</v>
      </c>
      <c r="E178" s="806">
        <f t="shared" si="38"/>
        <v>0</v>
      </c>
      <c r="F178" s="806">
        <f t="shared" si="38"/>
        <v>0</v>
      </c>
      <c r="G178" s="806">
        <f t="shared" si="38"/>
        <v>0</v>
      </c>
      <c r="H178" s="806">
        <f t="shared" si="38"/>
        <v>0</v>
      </c>
      <c r="I178" s="806">
        <f t="shared" si="38"/>
        <v>0</v>
      </c>
      <c r="J178" s="806">
        <f t="shared" si="38"/>
        <v>0</v>
      </c>
      <c r="K178" s="806">
        <f t="shared" si="38"/>
        <v>0</v>
      </c>
      <c r="L178" s="806">
        <f t="shared" si="38"/>
        <v>0</v>
      </c>
      <c r="M178" s="806">
        <f t="shared" si="38"/>
        <v>0</v>
      </c>
      <c r="N178" s="806">
        <f t="shared" si="38"/>
        <v>0</v>
      </c>
    </row>
    <row r="179" spans="2:14" s="808" customFormat="1" hidden="1">
      <c r="B179" s="809"/>
      <c r="C179" s="810" t="b">
        <f t="shared" si="36"/>
        <v>1</v>
      </c>
      <c r="D179" s="807" t="str">
        <f t="shared" si="34"/>
        <v>-</v>
      </c>
      <c r="E179" s="806">
        <f t="shared" si="38"/>
        <v>0</v>
      </c>
      <c r="F179" s="806">
        <f t="shared" si="38"/>
        <v>0</v>
      </c>
      <c r="G179" s="806">
        <f t="shared" si="38"/>
        <v>0</v>
      </c>
      <c r="H179" s="806">
        <f t="shared" si="38"/>
        <v>0</v>
      </c>
      <c r="I179" s="806">
        <f t="shared" si="38"/>
        <v>0</v>
      </c>
      <c r="J179" s="806">
        <f t="shared" si="38"/>
        <v>0</v>
      </c>
      <c r="K179" s="806">
        <f t="shared" si="38"/>
        <v>0</v>
      </c>
      <c r="L179" s="806">
        <f t="shared" si="38"/>
        <v>0</v>
      </c>
      <c r="M179" s="806">
        <f t="shared" si="38"/>
        <v>0</v>
      </c>
      <c r="N179" s="806">
        <f t="shared" si="38"/>
        <v>0</v>
      </c>
    </row>
    <row r="180" spans="2:14" hidden="1">
      <c r="C180" s="810" t="b">
        <f t="shared" si="36"/>
        <v>1</v>
      </c>
      <c r="D180" s="807" t="str">
        <f t="shared" si="34"/>
        <v>-</v>
      </c>
      <c r="E180" s="806">
        <f t="shared" si="38"/>
        <v>0</v>
      </c>
      <c r="F180" s="806">
        <f t="shared" si="38"/>
        <v>0</v>
      </c>
      <c r="G180" s="806">
        <f t="shared" si="38"/>
        <v>0</v>
      </c>
      <c r="H180" s="806">
        <f t="shared" si="38"/>
        <v>0</v>
      </c>
      <c r="I180" s="806">
        <f t="shared" si="38"/>
        <v>0</v>
      </c>
      <c r="J180" s="806">
        <f t="shared" si="38"/>
        <v>0</v>
      </c>
      <c r="K180" s="806">
        <f t="shared" si="38"/>
        <v>0</v>
      </c>
      <c r="L180" s="806">
        <f t="shared" si="38"/>
        <v>0</v>
      </c>
      <c r="M180" s="806">
        <f t="shared" si="38"/>
        <v>0</v>
      </c>
      <c r="N180" s="806">
        <f t="shared" si="38"/>
        <v>0</v>
      </c>
    </row>
    <row r="181" spans="2:14" hidden="1">
      <c r="C181" s="810" t="b">
        <f t="shared" si="36"/>
        <v>1</v>
      </c>
      <c r="D181" s="807" t="str">
        <f t="shared" si="34"/>
        <v>-</v>
      </c>
      <c r="E181" s="806">
        <f t="shared" si="38"/>
        <v>0</v>
      </c>
      <c r="F181" s="806">
        <f t="shared" si="38"/>
        <v>0</v>
      </c>
      <c r="G181" s="806">
        <f t="shared" si="38"/>
        <v>0</v>
      </c>
      <c r="H181" s="806">
        <f t="shared" si="38"/>
        <v>0</v>
      </c>
      <c r="I181" s="806">
        <f t="shared" si="38"/>
        <v>0</v>
      </c>
      <c r="J181" s="806">
        <f t="shared" si="38"/>
        <v>0</v>
      </c>
      <c r="K181" s="806">
        <f t="shared" si="38"/>
        <v>0</v>
      </c>
      <c r="L181" s="806">
        <f t="shared" si="38"/>
        <v>0</v>
      </c>
      <c r="M181" s="806">
        <f t="shared" si="38"/>
        <v>0</v>
      </c>
      <c r="N181" s="806">
        <f t="shared" si="38"/>
        <v>0</v>
      </c>
    </row>
    <row r="182" spans="2:14" hidden="1">
      <c r="C182" s="810" t="b">
        <f t="shared" si="36"/>
        <v>1</v>
      </c>
      <c r="D182" s="807" t="str">
        <f t="shared" si="34"/>
        <v>-</v>
      </c>
      <c r="E182" s="806">
        <f t="shared" si="38"/>
        <v>0</v>
      </c>
      <c r="F182" s="806">
        <f t="shared" si="38"/>
        <v>0</v>
      </c>
      <c r="G182" s="806">
        <f t="shared" si="38"/>
        <v>0</v>
      </c>
      <c r="H182" s="806">
        <f t="shared" si="38"/>
        <v>0</v>
      </c>
      <c r="I182" s="806">
        <f t="shared" si="38"/>
        <v>0</v>
      </c>
      <c r="J182" s="806">
        <f t="shared" si="38"/>
        <v>0</v>
      </c>
      <c r="K182" s="806">
        <f t="shared" si="38"/>
        <v>0</v>
      </c>
      <c r="L182" s="806">
        <f t="shared" si="38"/>
        <v>0</v>
      </c>
      <c r="M182" s="806">
        <f t="shared" si="38"/>
        <v>0</v>
      </c>
      <c r="N182" s="806">
        <f t="shared" si="38"/>
        <v>0</v>
      </c>
    </row>
    <row r="183" spans="2:14" hidden="1">
      <c r="C183" s="810" t="b">
        <f t="shared" si="36"/>
        <v>1</v>
      </c>
      <c r="D183" s="807" t="str">
        <f t="shared" si="34"/>
        <v>-</v>
      </c>
      <c r="E183" s="806">
        <f t="shared" si="38"/>
        <v>0</v>
      </c>
      <c r="F183" s="806">
        <f t="shared" si="38"/>
        <v>0</v>
      </c>
      <c r="G183" s="806">
        <f t="shared" si="38"/>
        <v>0</v>
      </c>
      <c r="H183" s="806">
        <f t="shared" si="38"/>
        <v>0</v>
      </c>
      <c r="I183" s="806">
        <f t="shared" si="38"/>
        <v>0</v>
      </c>
      <c r="J183" s="806">
        <f t="shared" si="38"/>
        <v>0</v>
      </c>
      <c r="K183" s="806">
        <f t="shared" si="38"/>
        <v>0</v>
      </c>
      <c r="L183" s="806">
        <f t="shared" si="38"/>
        <v>0</v>
      </c>
      <c r="M183" s="806">
        <f t="shared" si="38"/>
        <v>0</v>
      </c>
      <c r="N183" s="806">
        <f t="shared" si="38"/>
        <v>0</v>
      </c>
    </row>
    <row r="184" spans="2:14" hidden="1">
      <c r="C184" s="810" t="b">
        <f t="shared" si="36"/>
        <v>1</v>
      </c>
      <c r="D184" s="807" t="str">
        <f t="shared" si="34"/>
        <v>-</v>
      </c>
      <c r="E184" s="806">
        <f t="shared" si="38"/>
        <v>0</v>
      </c>
      <c r="F184" s="806">
        <f t="shared" si="38"/>
        <v>0</v>
      </c>
      <c r="G184" s="806">
        <f t="shared" si="38"/>
        <v>0</v>
      </c>
      <c r="H184" s="806">
        <f t="shared" si="38"/>
        <v>0</v>
      </c>
      <c r="I184" s="806">
        <f t="shared" si="38"/>
        <v>0</v>
      </c>
      <c r="J184" s="806">
        <f t="shared" si="38"/>
        <v>0</v>
      </c>
      <c r="K184" s="806">
        <f t="shared" si="38"/>
        <v>0</v>
      </c>
      <c r="L184" s="806">
        <f t="shared" si="38"/>
        <v>0</v>
      </c>
      <c r="M184" s="806">
        <f t="shared" si="38"/>
        <v>0</v>
      </c>
      <c r="N184" s="806">
        <f t="shared" si="38"/>
        <v>0</v>
      </c>
    </row>
    <row r="185" spans="2:14" hidden="1">
      <c r="C185" s="810" t="b">
        <f t="shared" si="36"/>
        <v>1</v>
      </c>
      <c r="D185" s="807" t="str">
        <f t="shared" si="34"/>
        <v>-</v>
      </c>
      <c r="E185" s="806">
        <f t="shared" si="38"/>
        <v>0</v>
      </c>
      <c r="F185" s="806">
        <f t="shared" si="38"/>
        <v>0</v>
      </c>
      <c r="G185" s="806">
        <f t="shared" si="38"/>
        <v>0</v>
      </c>
      <c r="H185" s="806">
        <f t="shared" si="38"/>
        <v>0</v>
      </c>
      <c r="I185" s="806">
        <f t="shared" si="38"/>
        <v>0</v>
      </c>
      <c r="J185" s="806">
        <f t="shared" si="38"/>
        <v>0</v>
      </c>
      <c r="K185" s="806">
        <f t="shared" si="38"/>
        <v>0</v>
      </c>
      <c r="L185" s="806">
        <f t="shared" si="38"/>
        <v>0</v>
      </c>
      <c r="M185" s="806">
        <f t="shared" si="38"/>
        <v>0</v>
      </c>
      <c r="N185" s="806">
        <f t="shared" si="38"/>
        <v>0</v>
      </c>
    </row>
    <row r="186" spans="2:14" hidden="1">
      <c r="C186" s="810" t="b">
        <f t="shared" si="36"/>
        <v>1</v>
      </c>
      <c r="D186" s="807" t="str">
        <f t="shared" si="34"/>
        <v>-</v>
      </c>
      <c r="E186" s="806">
        <f t="shared" si="38"/>
        <v>0</v>
      </c>
      <c r="F186" s="806">
        <f t="shared" si="38"/>
        <v>0</v>
      </c>
      <c r="G186" s="806">
        <f t="shared" si="38"/>
        <v>0</v>
      </c>
      <c r="H186" s="806">
        <f t="shared" si="38"/>
        <v>0</v>
      </c>
      <c r="I186" s="806">
        <f t="shared" si="38"/>
        <v>0</v>
      </c>
      <c r="J186" s="806">
        <f t="shared" si="38"/>
        <v>0</v>
      </c>
      <c r="K186" s="806">
        <f t="shared" si="38"/>
        <v>0</v>
      </c>
      <c r="L186" s="806">
        <f t="shared" si="38"/>
        <v>0</v>
      </c>
      <c r="M186" s="806">
        <f t="shared" si="38"/>
        <v>0</v>
      </c>
      <c r="N186" s="806">
        <f t="shared" si="38"/>
        <v>0</v>
      </c>
    </row>
    <row r="187" spans="2:14" hidden="1">
      <c r="C187" s="810" t="b">
        <f t="shared" si="36"/>
        <v>1</v>
      </c>
      <c r="D187" s="807" t="str">
        <f t="shared" ref="D187:D218" si="39">D84</f>
        <v>-</v>
      </c>
      <c r="E187" s="806">
        <f t="shared" si="38"/>
        <v>0</v>
      </c>
      <c r="F187" s="806">
        <f t="shared" si="38"/>
        <v>0</v>
      </c>
      <c r="G187" s="806">
        <f t="shared" si="38"/>
        <v>0</v>
      </c>
      <c r="H187" s="806">
        <f t="shared" si="38"/>
        <v>0</v>
      </c>
      <c r="I187" s="806">
        <f t="shared" si="38"/>
        <v>0</v>
      </c>
      <c r="J187" s="806">
        <f t="shared" si="38"/>
        <v>0</v>
      </c>
      <c r="K187" s="806">
        <f t="shared" si="38"/>
        <v>0</v>
      </c>
      <c r="L187" s="806">
        <f t="shared" si="38"/>
        <v>0</v>
      </c>
      <c r="M187" s="806">
        <f t="shared" si="38"/>
        <v>0</v>
      </c>
      <c r="N187" s="806">
        <f t="shared" si="38"/>
        <v>0</v>
      </c>
    </row>
    <row r="188" spans="2:14" hidden="1">
      <c r="C188" s="810" t="b">
        <f t="shared" si="36"/>
        <v>1</v>
      </c>
      <c r="D188" s="807" t="str">
        <f t="shared" si="39"/>
        <v>-</v>
      </c>
      <c r="E188" s="806">
        <f t="shared" ref="E188:N203" si="40">IF(ISERROR(MATCH($D188,E$22:E$42,0)),0,INDEX($C$22:$C$42,MATCH($D188,E$22:E$42,0)))</f>
        <v>0</v>
      </c>
      <c r="F188" s="806">
        <f t="shared" si="40"/>
        <v>0</v>
      </c>
      <c r="G188" s="806">
        <f t="shared" si="40"/>
        <v>0</v>
      </c>
      <c r="H188" s="806">
        <f t="shared" si="40"/>
        <v>0</v>
      </c>
      <c r="I188" s="806">
        <f t="shared" si="40"/>
        <v>0</v>
      </c>
      <c r="J188" s="806">
        <f t="shared" si="40"/>
        <v>0</v>
      </c>
      <c r="K188" s="806">
        <f t="shared" si="40"/>
        <v>0</v>
      </c>
      <c r="L188" s="806">
        <f t="shared" si="40"/>
        <v>0</v>
      </c>
      <c r="M188" s="806">
        <f t="shared" si="40"/>
        <v>0</v>
      </c>
      <c r="N188" s="806">
        <f t="shared" si="40"/>
        <v>0</v>
      </c>
    </row>
    <row r="189" spans="2:14" hidden="1">
      <c r="C189" s="810" t="b">
        <f t="shared" si="36"/>
        <v>1</v>
      </c>
      <c r="D189" s="807" t="str">
        <f t="shared" si="39"/>
        <v>-</v>
      </c>
      <c r="E189" s="806">
        <f t="shared" si="40"/>
        <v>0</v>
      </c>
      <c r="F189" s="806">
        <f t="shared" si="40"/>
        <v>0</v>
      </c>
      <c r="G189" s="806">
        <f t="shared" si="40"/>
        <v>0</v>
      </c>
      <c r="H189" s="806">
        <f t="shared" si="40"/>
        <v>0</v>
      </c>
      <c r="I189" s="806">
        <f t="shared" si="40"/>
        <v>0</v>
      </c>
      <c r="J189" s="806">
        <f t="shared" si="40"/>
        <v>0</v>
      </c>
      <c r="K189" s="806">
        <f t="shared" si="40"/>
        <v>0</v>
      </c>
      <c r="L189" s="806">
        <f t="shared" si="40"/>
        <v>0</v>
      </c>
      <c r="M189" s="806">
        <f t="shared" si="40"/>
        <v>0</v>
      </c>
      <c r="N189" s="806">
        <f t="shared" si="40"/>
        <v>0</v>
      </c>
    </row>
    <row r="190" spans="2:14" hidden="1">
      <c r="C190" s="810" t="b">
        <f t="shared" si="36"/>
        <v>1</v>
      </c>
      <c r="D190" s="807" t="str">
        <f t="shared" si="39"/>
        <v>-</v>
      </c>
      <c r="E190" s="806">
        <f t="shared" si="40"/>
        <v>0</v>
      </c>
      <c r="F190" s="806">
        <f t="shared" si="40"/>
        <v>0</v>
      </c>
      <c r="G190" s="806">
        <f t="shared" si="40"/>
        <v>0</v>
      </c>
      <c r="H190" s="806">
        <f t="shared" si="40"/>
        <v>0</v>
      </c>
      <c r="I190" s="806">
        <f t="shared" si="40"/>
        <v>0</v>
      </c>
      <c r="J190" s="806">
        <f t="shared" si="40"/>
        <v>0</v>
      </c>
      <c r="K190" s="806">
        <f t="shared" si="40"/>
        <v>0</v>
      </c>
      <c r="L190" s="806">
        <f t="shared" si="40"/>
        <v>0</v>
      </c>
      <c r="M190" s="806">
        <f t="shared" si="40"/>
        <v>0</v>
      </c>
      <c r="N190" s="806">
        <f t="shared" si="40"/>
        <v>0</v>
      </c>
    </row>
    <row r="191" spans="2:14" hidden="1">
      <c r="C191" s="810" t="b">
        <f t="shared" si="36"/>
        <v>1</v>
      </c>
      <c r="D191" s="807" t="str">
        <f t="shared" si="39"/>
        <v>-</v>
      </c>
      <c r="E191" s="806">
        <f t="shared" si="40"/>
        <v>0</v>
      </c>
      <c r="F191" s="806">
        <f t="shared" si="40"/>
        <v>0</v>
      </c>
      <c r="G191" s="806">
        <f t="shared" si="40"/>
        <v>0</v>
      </c>
      <c r="H191" s="806">
        <f t="shared" si="40"/>
        <v>0</v>
      </c>
      <c r="I191" s="806">
        <f t="shared" si="40"/>
        <v>0</v>
      </c>
      <c r="J191" s="806">
        <f t="shared" si="40"/>
        <v>0</v>
      </c>
      <c r="K191" s="806">
        <f t="shared" si="40"/>
        <v>0</v>
      </c>
      <c r="L191" s="806">
        <f t="shared" si="40"/>
        <v>0</v>
      </c>
      <c r="M191" s="806">
        <f t="shared" si="40"/>
        <v>0</v>
      </c>
      <c r="N191" s="806">
        <f t="shared" si="40"/>
        <v>0</v>
      </c>
    </row>
    <row r="192" spans="2:14" hidden="1">
      <c r="C192" s="810" t="b">
        <f t="shared" si="36"/>
        <v>1</v>
      </c>
      <c r="D192" s="807" t="str">
        <f t="shared" si="39"/>
        <v>-</v>
      </c>
      <c r="E192" s="806">
        <f t="shared" si="40"/>
        <v>0</v>
      </c>
      <c r="F192" s="806">
        <f t="shared" si="40"/>
        <v>0</v>
      </c>
      <c r="G192" s="806">
        <f t="shared" si="40"/>
        <v>0</v>
      </c>
      <c r="H192" s="806">
        <f t="shared" si="40"/>
        <v>0</v>
      </c>
      <c r="I192" s="806">
        <f t="shared" si="40"/>
        <v>0</v>
      </c>
      <c r="J192" s="806">
        <f t="shared" si="40"/>
        <v>0</v>
      </c>
      <c r="K192" s="806">
        <f t="shared" si="40"/>
        <v>0</v>
      </c>
      <c r="L192" s="806">
        <f t="shared" si="40"/>
        <v>0</v>
      </c>
      <c r="M192" s="806">
        <f t="shared" si="40"/>
        <v>0</v>
      </c>
      <c r="N192" s="806">
        <f t="shared" si="40"/>
        <v>0</v>
      </c>
    </row>
    <row r="193" spans="3:14" hidden="1">
      <c r="C193" s="810" t="b">
        <f t="shared" si="36"/>
        <v>1</v>
      </c>
      <c r="D193" s="807" t="str">
        <f t="shared" si="39"/>
        <v>-</v>
      </c>
      <c r="E193" s="806">
        <f t="shared" si="40"/>
        <v>0</v>
      </c>
      <c r="F193" s="806">
        <f t="shared" si="40"/>
        <v>0</v>
      </c>
      <c r="G193" s="806">
        <f t="shared" si="40"/>
        <v>0</v>
      </c>
      <c r="H193" s="806">
        <f t="shared" si="40"/>
        <v>0</v>
      </c>
      <c r="I193" s="806">
        <f t="shared" si="40"/>
        <v>0</v>
      </c>
      <c r="J193" s="806">
        <f t="shared" si="40"/>
        <v>0</v>
      </c>
      <c r="K193" s="806">
        <f t="shared" si="40"/>
        <v>0</v>
      </c>
      <c r="L193" s="806">
        <f t="shared" si="40"/>
        <v>0</v>
      </c>
      <c r="M193" s="806">
        <f t="shared" si="40"/>
        <v>0</v>
      </c>
      <c r="N193" s="806">
        <f t="shared" si="40"/>
        <v>0</v>
      </c>
    </row>
    <row r="194" spans="3:14" hidden="1">
      <c r="C194" s="810" t="b">
        <f t="shared" si="36"/>
        <v>1</v>
      </c>
      <c r="D194" s="807" t="str">
        <f t="shared" si="39"/>
        <v>-</v>
      </c>
      <c r="E194" s="806">
        <f t="shared" si="40"/>
        <v>0</v>
      </c>
      <c r="F194" s="806">
        <f t="shared" si="40"/>
        <v>0</v>
      </c>
      <c r="G194" s="806">
        <f t="shared" si="40"/>
        <v>0</v>
      </c>
      <c r="H194" s="806">
        <f t="shared" si="40"/>
        <v>0</v>
      </c>
      <c r="I194" s="806">
        <f t="shared" si="40"/>
        <v>0</v>
      </c>
      <c r="J194" s="806">
        <f t="shared" si="40"/>
        <v>0</v>
      </c>
      <c r="K194" s="806">
        <f t="shared" si="40"/>
        <v>0</v>
      </c>
      <c r="L194" s="806">
        <f t="shared" si="40"/>
        <v>0</v>
      </c>
      <c r="M194" s="806">
        <f t="shared" si="40"/>
        <v>0</v>
      </c>
      <c r="N194" s="806">
        <f t="shared" si="40"/>
        <v>0</v>
      </c>
    </row>
    <row r="195" spans="3:14" hidden="1">
      <c r="C195" s="810" t="b">
        <f t="shared" si="36"/>
        <v>1</v>
      </c>
      <c r="D195" s="807" t="str">
        <f t="shared" si="39"/>
        <v>-</v>
      </c>
      <c r="E195" s="806">
        <f t="shared" si="40"/>
        <v>0</v>
      </c>
      <c r="F195" s="806">
        <f t="shared" si="40"/>
        <v>0</v>
      </c>
      <c r="G195" s="806">
        <f t="shared" si="40"/>
        <v>0</v>
      </c>
      <c r="H195" s="806">
        <f t="shared" si="40"/>
        <v>0</v>
      </c>
      <c r="I195" s="806">
        <f t="shared" si="40"/>
        <v>0</v>
      </c>
      <c r="J195" s="806">
        <f t="shared" si="40"/>
        <v>0</v>
      </c>
      <c r="K195" s="806">
        <f t="shared" si="40"/>
        <v>0</v>
      </c>
      <c r="L195" s="806">
        <f t="shared" si="40"/>
        <v>0</v>
      </c>
      <c r="M195" s="806">
        <f t="shared" si="40"/>
        <v>0</v>
      </c>
      <c r="N195" s="806">
        <f t="shared" si="40"/>
        <v>0</v>
      </c>
    </row>
    <row r="196" spans="3:14" hidden="1">
      <c r="C196" s="810" t="b">
        <f t="shared" si="36"/>
        <v>1</v>
      </c>
      <c r="D196" s="807" t="str">
        <f t="shared" si="39"/>
        <v>-</v>
      </c>
      <c r="E196" s="806">
        <f t="shared" si="40"/>
        <v>0</v>
      </c>
      <c r="F196" s="806">
        <f t="shared" si="40"/>
        <v>0</v>
      </c>
      <c r="G196" s="806">
        <f t="shared" si="40"/>
        <v>0</v>
      </c>
      <c r="H196" s="806">
        <f t="shared" si="40"/>
        <v>0</v>
      </c>
      <c r="I196" s="806">
        <f t="shared" si="40"/>
        <v>0</v>
      </c>
      <c r="J196" s="806">
        <f t="shared" si="40"/>
        <v>0</v>
      </c>
      <c r="K196" s="806">
        <f t="shared" si="40"/>
        <v>0</v>
      </c>
      <c r="L196" s="806">
        <f t="shared" si="40"/>
        <v>0</v>
      </c>
      <c r="M196" s="806">
        <f t="shared" si="40"/>
        <v>0</v>
      </c>
      <c r="N196" s="806">
        <f t="shared" si="40"/>
        <v>0</v>
      </c>
    </row>
    <row r="197" spans="3:14" hidden="1">
      <c r="C197" s="810" t="b">
        <f t="shared" si="36"/>
        <v>1</v>
      </c>
      <c r="D197" s="807" t="str">
        <f t="shared" si="39"/>
        <v>-</v>
      </c>
      <c r="E197" s="806">
        <f t="shared" si="40"/>
        <v>0</v>
      </c>
      <c r="F197" s="806">
        <f t="shared" si="40"/>
        <v>0</v>
      </c>
      <c r="G197" s="806">
        <f t="shared" si="40"/>
        <v>0</v>
      </c>
      <c r="H197" s="806">
        <f t="shared" si="40"/>
        <v>0</v>
      </c>
      <c r="I197" s="806">
        <f t="shared" si="40"/>
        <v>0</v>
      </c>
      <c r="J197" s="806">
        <f t="shared" si="40"/>
        <v>0</v>
      </c>
      <c r="K197" s="806">
        <f t="shared" si="40"/>
        <v>0</v>
      </c>
      <c r="L197" s="806">
        <f t="shared" si="40"/>
        <v>0</v>
      </c>
      <c r="M197" s="806">
        <f t="shared" si="40"/>
        <v>0</v>
      </c>
      <c r="N197" s="806">
        <f t="shared" si="40"/>
        <v>0</v>
      </c>
    </row>
    <row r="198" spans="3:14" hidden="1">
      <c r="C198" s="810" t="b">
        <f t="shared" si="36"/>
        <v>1</v>
      </c>
      <c r="D198" s="807" t="str">
        <f t="shared" si="39"/>
        <v>-</v>
      </c>
      <c r="E198" s="806">
        <f t="shared" si="40"/>
        <v>0</v>
      </c>
      <c r="F198" s="806">
        <f t="shared" si="40"/>
        <v>0</v>
      </c>
      <c r="G198" s="806">
        <f t="shared" si="40"/>
        <v>0</v>
      </c>
      <c r="H198" s="806">
        <f t="shared" si="40"/>
        <v>0</v>
      </c>
      <c r="I198" s="806">
        <f t="shared" si="40"/>
        <v>0</v>
      </c>
      <c r="J198" s="806">
        <f t="shared" si="40"/>
        <v>0</v>
      </c>
      <c r="K198" s="806">
        <f t="shared" si="40"/>
        <v>0</v>
      </c>
      <c r="L198" s="806">
        <f t="shared" si="40"/>
        <v>0</v>
      </c>
      <c r="M198" s="806">
        <f t="shared" si="40"/>
        <v>0</v>
      </c>
      <c r="N198" s="806">
        <f t="shared" si="40"/>
        <v>0</v>
      </c>
    </row>
    <row r="199" spans="3:14" hidden="1">
      <c r="C199" s="810" t="b">
        <f t="shared" si="36"/>
        <v>1</v>
      </c>
      <c r="D199" s="807" t="str">
        <f t="shared" si="39"/>
        <v>-</v>
      </c>
      <c r="E199" s="806">
        <f t="shared" si="40"/>
        <v>0</v>
      </c>
      <c r="F199" s="806">
        <f t="shared" si="40"/>
        <v>0</v>
      </c>
      <c r="G199" s="806">
        <f t="shared" si="40"/>
        <v>0</v>
      </c>
      <c r="H199" s="806">
        <f t="shared" si="40"/>
        <v>0</v>
      </c>
      <c r="I199" s="806">
        <f t="shared" si="40"/>
        <v>0</v>
      </c>
      <c r="J199" s="806">
        <f t="shared" si="40"/>
        <v>0</v>
      </c>
      <c r="K199" s="806">
        <f t="shared" si="40"/>
        <v>0</v>
      </c>
      <c r="L199" s="806">
        <f t="shared" si="40"/>
        <v>0</v>
      </c>
      <c r="M199" s="806">
        <f t="shared" si="40"/>
        <v>0</v>
      </c>
      <c r="N199" s="806">
        <f t="shared" si="40"/>
        <v>0</v>
      </c>
    </row>
    <row r="200" spans="3:14" hidden="1">
      <c r="C200" s="810" t="b">
        <f t="shared" si="36"/>
        <v>1</v>
      </c>
      <c r="D200" s="807" t="str">
        <f t="shared" si="39"/>
        <v>-</v>
      </c>
      <c r="E200" s="806">
        <f t="shared" si="40"/>
        <v>0</v>
      </c>
      <c r="F200" s="806">
        <f t="shared" si="40"/>
        <v>0</v>
      </c>
      <c r="G200" s="806">
        <f t="shared" si="40"/>
        <v>0</v>
      </c>
      <c r="H200" s="806">
        <f t="shared" si="40"/>
        <v>0</v>
      </c>
      <c r="I200" s="806">
        <f t="shared" si="40"/>
        <v>0</v>
      </c>
      <c r="J200" s="806">
        <f t="shared" si="40"/>
        <v>0</v>
      </c>
      <c r="K200" s="806">
        <f t="shared" si="40"/>
        <v>0</v>
      </c>
      <c r="L200" s="806">
        <f t="shared" si="40"/>
        <v>0</v>
      </c>
      <c r="M200" s="806">
        <f t="shared" si="40"/>
        <v>0</v>
      </c>
      <c r="N200" s="806">
        <f t="shared" si="40"/>
        <v>0</v>
      </c>
    </row>
    <row r="201" spans="3:14" hidden="1">
      <c r="C201" s="810" t="b">
        <f t="shared" si="36"/>
        <v>1</v>
      </c>
      <c r="D201" s="807" t="str">
        <f t="shared" si="39"/>
        <v>-</v>
      </c>
      <c r="E201" s="806">
        <f t="shared" si="40"/>
        <v>0</v>
      </c>
      <c r="F201" s="806">
        <f t="shared" si="40"/>
        <v>0</v>
      </c>
      <c r="G201" s="806">
        <f t="shared" si="40"/>
        <v>0</v>
      </c>
      <c r="H201" s="806">
        <f t="shared" si="40"/>
        <v>0</v>
      </c>
      <c r="I201" s="806">
        <f t="shared" si="40"/>
        <v>0</v>
      </c>
      <c r="J201" s="806">
        <f t="shared" si="40"/>
        <v>0</v>
      </c>
      <c r="K201" s="806">
        <f t="shared" si="40"/>
        <v>0</v>
      </c>
      <c r="L201" s="806">
        <f t="shared" si="40"/>
        <v>0</v>
      </c>
      <c r="M201" s="806">
        <f t="shared" si="40"/>
        <v>0</v>
      </c>
      <c r="N201" s="806">
        <f t="shared" si="40"/>
        <v>0</v>
      </c>
    </row>
    <row r="202" spans="3:14" hidden="1">
      <c r="C202" s="810" t="b">
        <f t="shared" si="36"/>
        <v>1</v>
      </c>
      <c r="D202" s="807" t="str">
        <f t="shared" si="39"/>
        <v>-</v>
      </c>
      <c r="E202" s="806">
        <f t="shared" si="40"/>
        <v>0</v>
      </c>
      <c r="F202" s="806">
        <f t="shared" si="40"/>
        <v>0</v>
      </c>
      <c r="G202" s="806">
        <f t="shared" si="40"/>
        <v>0</v>
      </c>
      <c r="H202" s="806">
        <f t="shared" si="40"/>
        <v>0</v>
      </c>
      <c r="I202" s="806">
        <f t="shared" si="40"/>
        <v>0</v>
      </c>
      <c r="J202" s="806">
        <f t="shared" si="40"/>
        <v>0</v>
      </c>
      <c r="K202" s="806">
        <f t="shared" si="40"/>
        <v>0</v>
      </c>
      <c r="L202" s="806">
        <f t="shared" si="40"/>
        <v>0</v>
      </c>
      <c r="M202" s="806">
        <f t="shared" si="40"/>
        <v>0</v>
      </c>
      <c r="N202" s="806">
        <f t="shared" si="40"/>
        <v>0</v>
      </c>
    </row>
    <row r="203" spans="3:14" hidden="1">
      <c r="C203" s="810" t="b">
        <f t="shared" si="36"/>
        <v>1</v>
      </c>
      <c r="D203" s="807" t="str">
        <f t="shared" si="39"/>
        <v>-</v>
      </c>
      <c r="E203" s="806">
        <f t="shared" si="40"/>
        <v>0</v>
      </c>
      <c r="F203" s="806">
        <f t="shared" si="40"/>
        <v>0</v>
      </c>
      <c r="G203" s="806">
        <f t="shared" si="40"/>
        <v>0</v>
      </c>
      <c r="H203" s="806">
        <f t="shared" si="40"/>
        <v>0</v>
      </c>
      <c r="I203" s="806">
        <f t="shared" si="40"/>
        <v>0</v>
      </c>
      <c r="J203" s="806">
        <f t="shared" si="40"/>
        <v>0</v>
      </c>
      <c r="K203" s="806">
        <f t="shared" si="40"/>
        <v>0</v>
      </c>
      <c r="L203" s="806">
        <f t="shared" si="40"/>
        <v>0</v>
      </c>
      <c r="M203" s="806">
        <f t="shared" si="40"/>
        <v>0</v>
      </c>
      <c r="N203" s="806">
        <f t="shared" si="40"/>
        <v>0</v>
      </c>
    </row>
    <row r="204" spans="3:14" hidden="1">
      <c r="C204" s="810" t="b">
        <f t="shared" si="36"/>
        <v>1</v>
      </c>
      <c r="D204" s="807" t="str">
        <f t="shared" si="39"/>
        <v>-</v>
      </c>
      <c r="E204" s="806">
        <f t="shared" ref="E204:N219" si="41">IF(ISERROR(MATCH($D204,E$22:E$42,0)),0,INDEX($C$22:$C$42,MATCH($D204,E$22:E$42,0)))</f>
        <v>0</v>
      </c>
      <c r="F204" s="806">
        <f t="shared" si="41"/>
        <v>0</v>
      </c>
      <c r="G204" s="806">
        <f t="shared" si="41"/>
        <v>0</v>
      </c>
      <c r="H204" s="806">
        <f t="shared" si="41"/>
        <v>0</v>
      </c>
      <c r="I204" s="806">
        <f t="shared" si="41"/>
        <v>0</v>
      </c>
      <c r="J204" s="806">
        <f t="shared" si="41"/>
        <v>0</v>
      </c>
      <c r="K204" s="806">
        <f t="shared" si="41"/>
        <v>0</v>
      </c>
      <c r="L204" s="806">
        <f t="shared" si="41"/>
        <v>0</v>
      </c>
      <c r="M204" s="806">
        <f t="shared" si="41"/>
        <v>0</v>
      </c>
      <c r="N204" s="806">
        <f t="shared" si="41"/>
        <v>0</v>
      </c>
    </row>
    <row r="205" spans="3:14" hidden="1">
      <c r="C205" s="810" t="b">
        <f t="shared" si="36"/>
        <v>1</v>
      </c>
      <c r="D205" s="807" t="str">
        <f t="shared" si="39"/>
        <v>-</v>
      </c>
      <c r="E205" s="806">
        <f t="shared" si="41"/>
        <v>0</v>
      </c>
      <c r="F205" s="806">
        <f t="shared" si="41"/>
        <v>0</v>
      </c>
      <c r="G205" s="806">
        <f t="shared" si="41"/>
        <v>0</v>
      </c>
      <c r="H205" s="806">
        <f t="shared" si="41"/>
        <v>0</v>
      </c>
      <c r="I205" s="806">
        <f t="shared" si="41"/>
        <v>0</v>
      </c>
      <c r="J205" s="806">
        <f t="shared" si="41"/>
        <v>0</v>
      </c>
      <c r="K205" s="806">
        <f t="shared" si="41"/>
        <v>0</v>
      </c>
      <c r="L205" s="806">
        <f t="shared" si="41"/>
        <v>0</v>
      </c>
      <c r="M205" s="806">
        <f t="shared" si="41"/>
        <v>0</v>
      </c>
      <c r="N205" s="806">
        <f t="shared" si="41"/>
        <v>0</v>
      </c>
    </row>
    <row r="206" spans="3:14" hidden="1">
      <c r="C206" s="810" t="b">
        <f t="shared" si="36"/>
        <v>1</v>
      </c>
      <c r="D206" s="807" t="str">
        <f t="shared" si="39"/>
        <v>-</v>
      </c>
      <c r="E206" s="806">
        <f t="shared" si="41"/>
        <v>0</v>
      </c>
      <c r="F206" s="806">
        <f t="shared" si="41"/>
        <v>0</v>
      </c>
      <c r="G206" s="806">
        <f t="shared" si="41"/>
        <v>0</v>
      </c>
      <c r="H206" s="806">
        <f t="shared" si="41"/>
        <v>0</v>
      </c>
      <c r="I206" s="806">
        <f t="shared" si="41"/>
        <v>0</v>
      </c>
      <c r="J206" s="806">
        <f t="shared" si="41"/>
        <v>0</v>
      </c>
      <c r="K206" s="806">
        <f t="shared" si="41"/>
        <v>0</v>
      </c>
      <c r="L206" s="806">
        <f t="shared" si="41"/>
        <v>0</v>
      </c>
      <c r="M206" s="806">
        <f t="shared" si="41"/>
        <v>0</v>
      </c>
      <c r="N206" s="806">
        <f t="shared" si="41"/>
        <v>0</v>
      </c>
    </row>
    <row r="207" spans="3:14" hidden="1">
      <c r="C207" s="810" t="b">
        <f t="shared" si="36"/>
        <v>1</v>
      </c>
      <c r="D207" s="807" t="str">
        <f t="shared" si="39"/>
        <v>-</v>
      </c>
      <c r="E207" s="806">
        <f t="shared" si="41"/>
        <v>0</v>
      </c>
      <c r="F207" s="806">
        <f t="shared" si="41"/>
        <v>0</v>
      </c>
      <c r="G207" s="806">
        <f t="shared" si="41"/>
        <v>0</v>
      </c>
      <c r="H207" s="806">
        <f t="shared" si="41"/>
        <v>0</v>
      </c>
      <c r="I207" s="806">
        <f t="shared" si="41"/>
        <v>0</v>
      </c>
      <c r="J207" s="806">
        <f t="shared" si="41"/>
        <v>0</v>
      </c>
      <c r="K207" s="806">
        <f t="shared" si="41"/>
        <v>0</v>
      </c>
      <c r="L207" s="806">
        <f t="shared" si="41"/>
        <v>0</v>
      </c>
      <c r="M207" s="806">
        <f t="shared" si="41"/>
        <v>0</v>
      </c>
      <c r="N207" s="806">
        <f t="shared" si="41"/>
        <v>0</v>
      </c>
    </row>
    <row r="208" spans="3:14" hidden="1">
      <c r="C208" s="810" t="b">
        <f t="shared" si="36"/>
        <v>1</v>
      </c>
      <c r="D208" s="807" t="str">
        <f t="shared" si="39"/>
        <v>-</v>
      </c>
      <c r="E208" s="806">
        <f t="shared" si="41"/>
        <v>0</v>
      </c>
      <c r="F208" s="806">
        <f t="shared" si="41"/>
        <v>0</v>
      </c>
      <c r="G208" s="806">
        <f t="shared" si="41"/>
        <v>0</v>
      </c>
      <c r="H208" s="806">
        <f t="shared" si="41"/>
        <v>0</v>
      </c>
      <c r="I208" s="806">
        <f t="shared" si="41"/>
        <v>0</v>
      </c>
      <c r="J208" s="806">
        <f t="shared" si="41"/>
        <v>0</v>
      </c>
      <c r="K208" s="806">
        <f t="shared" si="41"/>
        <v>0</v>
      </c>
      <c r="L208" s="806">
        <f t="shared" si="41"/>
        <v>0</v>
      </c>
      <c r="M208" s="806">
        <f t="shared" si="41"/>
        <v>0</v>
      </c>
      <c r="N208" s="806">
        <f t="shared" si="41"/>
        <v>0</v>
      </c>
    </row>
    <row r="209" spans="3:14" hidden="1">
      <c r="C209" s="810" t="b">
        <f t="shared" si="36"/>
        <v>1</v>
      </c>
      <c r="D209" s="807" t="str">
        <f t="shared" si="39"/>
        <v>-</v>
      </c>
      <c r="E209" s="806">
        <f t="shared" si="41"/>
        <v>0</v>
      </c>
      <c r="F209" s="806">
        <f t="shared" si="41"/>
        <v>0</v>
      </c>
      <c r="G209" s="806">
        <f t="shared" si="41"/>
        <v>0</v>
      </c>
      <c r="H209" s="806">
        <f t="shared" si="41"/>
        <v>0</v>
      </c>
      <c r="I209" s="806">
        <f t="shared" si="41"/>
        <v>0</v>
      </c>
      <c r="J209" s="806">
        <f t="shared" si="41"/>
        <v>0</v>
      </c>
      <c r="K209" s="806">
        <f t="shared" si="41"/>
        <v>0</v>
      </c>
      <c r="L209" s="806">
        <f t="shared" si="41"/>
        <v>0</v>
      </c>
      <c r="M209" s="806">
        <f t="shared" si="41"/>
        <v>0</v>
      </c>
      <c r="N209" s="806">
        <f t="shared" si="41"/>
        <v>0</v>
      </c>
    </row>
    <row r="210" spans="3:14" hidden="1">
      <c r="C210" s="810" t="b">
        <f t="shared" si="36"/>
        <v>1</v>
      </c>
      <c r="D210" s="807" t="str">
        <f t="shared" si="39"/>
        <v>-</v>
      </c>
      <c r="E210" s="806">
        <f t="shared" si="41"/>
        <v>0</v>
      </c>
      <c r="F210" s="806">
        <f t="shared" si="41"/>
        <v>0</v>
      </c>
      <c r="G210" s="806">
        <f t="shared" si="41"/>
        <v>0</v>
      </c>
      <c r="H210" s="806">
        <f t="shared" si="41"/>
        <v>0</v>
      </c>
      <c r="I210" s="806">
        <f t="shared" si="41"/>
        <v>0</v>
      </c>
      <c r="J210" s="806">
        <f t="shared" si="41"/>
        <v>0</v>
      </c>
      <c r="K210" s="806">
        <f t="shared" si="41"/>
        <v>0</v>
      </c>
      <c r="L210" s="806">
        <f t="shared" si="41"/>
        <v>0</v>
      </c>
      <c r="M210" s="806">
        <f t="shared" si="41"/>
        <v>0</v>
      </c>
      <c r="N210" s="806">
        <f t="shared" si="41"/>
        <v>0</v>
      </c>
    </row>
    <row r="211" spans="3:14" hidden="1">
      <c r="C211" s="810" t="b">
        <f t="shared" si="36"/>
        <v>1</v>
      </c>
      <c r="D211" s="807" t="str">
        <f t="shared" si="39"/>
        <v>-</v>
      </c>
      <c r="E211" s="806">
        <f t="shared" si="41"/>
        <v>0</v>
      </c>
      <c r="F211" s="806">
        <f t="shared" si="41"/>
        <v>0</v>
      </c>
      <c r="G211" s="806">
        <f t="shared" si="41"/>
        <v>0</v>
      </c>
      <c r="H211" s="806">
        <f t="shared" si="41"/>
        <v>0</v>
      </c>
      <c r="I211" s="806">
        <f t="shared" si="41"/>
        <v>0</v>
      </c>
      <c r="J211" s="806">
        <f t="shared" si="41"/>
        <v>0</v>
      </c>
      <c r="K211" s="806">
        <f t="shared" si="41"/>
        <v>0</v>
      </c>
      <c r="L211" s="806">
        <f t="shared" si="41"/>
        <v>0</v>
      </c>
      <c r="M211" s="806">
        <f t="shared" si="41"/>
        <v>0</v>
      </c>
      <c r="N211" s="806">
        <f t="shared" si="41"/>
        <v>0</v>
      </c>
    </row>
    <row r="212" spans="3:14" hidden="1">
      <c r="C212" s="810" t="b">
        <f t="shared" si="36"/>
        <v>1</v>
      </c>
      <c r="D212" s="807" t="str">
        <f t="shared" si="39"/>
        <v>-</v>
      </c>
      <c r="E212" s="806">
        <f t="shared" si="41"/>
        <v>0</v>
      </c>
      <c r="F212" s="806">
        <f t="shared" si="41"/>
        <v>0</v>
      </c>
      <c r="G212" s="806">
        <f t="shared" si="41"/>
        <v>0</v>
      </c>
      <c r="H212" s="806">
        <f t="shared" si="41"/>
        <v>0</v>
      </c>
      <c r="I212" s="806">
        <f t="shared" si="41"/>
        <v>0</v>
      </c>
      <c r="J212" s="806">
        <f t="shared" si="41"/>
        <v>0</v>
      </c>
      <c r="K212" s="806">
        <f t="shared" si="41"/>
        <v>0</v>
      </c>
      <c r="L212" s="806">
        <f t="shared" si="41"/>
        <v>0</v>
      </c>
      <c r="M212" s="806">
        <f t="shared" si="41"/>
        <v>0</v>
      </c>
      <c r="N212" s="806">
        <f t="shared" si="41"/>
        <v>0</v>
      </c>
    </row>
    <row r="213" spans="3:14" hidden="1">
      <c r="C213" s="810" t="b">
        <f t="shared" si="36"/>
        <v>1</v>
      </c>
      <c r="D213" s="807" t="str">
        <f t="shared" si="39"/>
        <v>-</v>
      </c>
      <c r="E213" s="806">
        <f t="shared" si="41"/>
        <v>0</v>
      </c>
      <c r="F213" s="806">
        <f t="shared" si="41"/>
        <v>0</v>
      </c>
      <c r="G213" s="806">
        <f t="shared" si="41"/>
        <v>0</v>
      </c>
      <c r="H213" s="806">
        <f t="shared" si="41"/>
        <v>0</v>
      </c>
      <c r="I213" s="806">
        <f t="shared" si="41"/>
        <v>0</v>
      </c>
      <c r="J213" s="806">
        <f t="shared" si="41"/>
        <v>0</v>
      </c>
      <c r="K213" s="806">
        <f t="shared" si="41"/>
        <v>0</v>
      </c>
      <c r="L213" s="806">
        <f t="shared" si="41"/>
        <v>0</v>
      </c>
      <c r="M213" s="806">
        <f t="shared" si="41"/>
        <v>0</v>
      </c>
      <c r="N213" s="806">
        <f t="shared" si="41"/>
        <v>0</v>
      </c>
    </row>
    <row r="214" spans="3:14" hidden="1">
      <c r="C214" s="810" t="b">
        <f t="shared" si="36"/>
        <v>1</v>
      </c>
      <c r="D214" s="807" t="str">
        <f t="shared" si="39"/>
        <v>-</v>
      </c>
      <c r="E214" s="806">
        <f t="shared" si="41"/>
        <v>0</v>
      </c>
      <c r="F214" s="806">
        <f t="shared" si="41"/>
        <v>0</v>
      </c>
      <c r="G214" s="806">
        <f t="shared" si="41"/>
        <v>0</v>
      </c>
      <c r="H214" s="806">
        <f t="shared" si="41"/>
        <v>0</v>
      </c>
      <c r="I214" s="806">
        <f t="shared" si="41"/>
        <v>0</v>
      </c>
      <c r="J214" s="806">
        <f t="shared" si="41"/>
        <v>0</v>
      </c>
      <c r="K214" s="806">
        <f t="shared" si="41"/>
        <v>0</v>
      </c>
      <c r="L214" s="806">
        <f t="shared" si="41"/>
        <v>0</v>
      </c>
      <c r="M214" s="806">
        <f t="shared" si="41"/>
        <v>0</v>
      </c>
      <c r="N214" s="806">
        <f t="shared" si="41"/>
        <v>0</v>
      </c>
    </row>
    <row r="215" spans="3:14" hidden="1">
      <c r="C215" s="810" t="b">
        <f t="shared" si="36"/>
        <v>1</v>
      </c>
      <c r="D215" s="807" t="str">
        <f t="shared" si="39"/>
        <v>-</v>
      </c>
      <c r="E215" s="806">
        <f t="shared" si="41"/>
        <v>0</v>
      </c>
      <c r="F215" s="806">
        <f t="shared" si="41"/>
        <v>0</v>
      </c>
      <c r="G215" s="806">
        <f t="shared" si="41"/>
        <v>0</v>
      </c>
      <c r="H215" s="806">
        <f t="shared" si="41"/>
        <v>0</v>
      </c>
      <c r="I215" s="806">
        <f t="shared" si="41"/>
        <v>0</v>
      </c>
      <c r="J215" s="806">
        <f t="shared" si="41"/>
        <v>0</v>
      </c>
      <c r="K215" s="806">
        <f t="shared" si="41"/>
        <v>0</v>
      </c>
      <c r="L215" s="806">
        <f t="shared" si="41"/>
        <v>0</v>
      </c>
      <c r="M215" s="806">
        <f t="shared" si="41"/>
        <v>0</v>
      </c>
      <c r="N215" s="806">
        <f t="shared" si="41"/>
        <v>0</v>
      </c>
    </row>
    <row r="216" spans="3:14" hidden="1">
      <c r="C216" s="810" t="b">
        <f t="shared" si="36"/>
        <v>1</v>
      </c>
      <c r="D216" s="807" t="str">
        <f t="shared" si="39"/>
        <v>-</v>
      </c>
      <c r="E216" s="806">
        <f t="shared" si="41"/>
        <v>0</v>
      </c>
      <c r="F216" s="806">
        <f t="shared" si="41"/>
        <v>0</v>
      </c>
      <c r="G216" s="806">
        <f t="shared" si="41"/>
        <v>0</v>
      </c>
      <c r="H216" s="806">
        <f t="shared" si="41"/>
        <v>0</v>
      </c>
      <c r="I216" s="806">
        <f t="shared" si="41"/>
        <v>0</v>
      </c>
      <c r="J216" s="806">
        <f t="shared" si="41"/>
        <v>0</v>
      </c>
      <c r="K216" s="806">
        <f t="shared" si="41"/>
        <v>0</v>
      </c>
      <c r="L216" s="806">
        <f t="shared" si="41"/>
        <v>0</v>
      </c>
      <c r="M216" s="806">
        <f t="shared" si="41"/>
        <v>0</v>
      </c>
      <c r="N216" s="806">
        <f t="shared" si="41"/>
        <v>0</v>
      </c>
    </row>
    <row r="217" spans="3:14" hidden="1">
      <c r="C217" s="810" t="b">
        <f t="shared" si="36"/>
        <v>1</v>
      </c>
      <c r="D217" s="807" t="str">
        <f t="shared" si="39"/>
        <v>-</v>
      </c>
      <c r="E217" s="806">
        <f t="shared" si="41"/>
        <v>0</v>
      </c>
      <c r="F217" s="806">
        <f t="shared" si="41"/>
        <v>0</v>
      </c>
      <c r="G217" s="806">
        <f t="shared" si="41"/>
        <v>0</v>
      </c>
      <c r="H217" s="806">
        <f t="shared" si="41"/>
        <v>0</v>
      </c>
      <c r="I217" s="806">
        <f t="shared" si="41"/>
        <v>0</v>
      </c>
      <c r="J217" s="806">
        <f t="shared" si="41"/>
        <v>0</v>
      </c>
      <c r="K217" s="806">
        <f t="shared" si="41"/>
        <v>0</v>
      </c>
      <c r="L217" s="806">
        <f t="shared" si="41"/>
        <v>0</v>
      </c>
      <c r="M217" s="806">
        <f t="shared" si="41"/>
        <v>0</v>
      </c>
      <c r="N217" s="806">
        <f t="shared" si="41"/>
        <v>0</v>
      </c>
    </row>
    <row r="218" spans="3:14" hidden="1">
      <c r="C218" s="810" t="b">
        <f t="shared" si="36"/>
        <v>1</v>
      </c>
      <c r="D218" s="807" t="str">
        <f t="shared" si="39"/>
        <v>-</v>
      </c>
      <c r="E218" s="806">
        <f t="shared" si="41"/>
        <v>0</v>
      </c>
      <c r="F218" s="806">
        <f t="shared" si="41"/>
        <v>0</v>
      </c>
      <c r="G218" s="806">
        <f t="shared" si="41"/>
        <v>0</v>
      </c>
      <c r="H218" s="806">
        <f t="shared" si="41"/>
        <v>0</v>
      </c>
      <c r="I218" s="806">
        <f t="shared" si="41"/>
        <v>0</v>
      </c>
      <c r="J218" s="806">
        <f t="shared" si="41"/>
        <v>0</v>
      </c>
      <c r="K218" s="806">
        <f t="shared" si="41"/>
        <v>0</v>
      </c>
      <c r="L218" s="806">
        <f t="shared" si="41"/>
        <v>0</v>
      </c>
      <c r="M218" s="806">
        <f t="shared" si="41"/>
        <v>0</v>
      </c>
      <c r="N218" s="806">
        <f t="shared" si="41"/>
        <v>0</v>
      </c>
    </row>
    <row r="219" spans="3:14" hidden="1">
      <c r="C219" s="810" t="b">
        <f t="shared" si="36"/>
        <v>1</v>
      </c>
      <c r="D219" s="807" t="str">
        <f t="shared" ref="D219:D250" si="42">D116</f>
        <v>-</v>
      </c>
      <c r="E219" s="806">
        <f t="shared" si="41"/>
        <v>0</v>
      </c>
      <c r="F219" s="806">
        <f t="shared" si="41"/>
        <v>0</v>
      </c>
      <c r="G219" s="806">
        <f t="shared" si="41"/>
        <v>0</v>
      </c>
      <c r="H219" s="806">
        <f t="shared" si="41"/>
        <v>0</v>
      </c>
      <c r="I219" s="806">
        <f t="shared" si="41"/>
        <v>0</v>
      </c>
      <c r="J219" s="806">
        <f t="shared" si="41"/>
        <v>0</v>
      </c>
      <c r="K219" s="806">
        <f t="shared" si="41"/>
        <v>0</v>
      </c>
      <c r="L219" s="806">
        <f t="shared" si="41"/>
        <v>0</v>
      </c>
      <c r="M219" s="806">
        <f t="shared" si="41"/>
        <v>0</v>
      </c>
      <c r="N219" s="806">
        <f t="shared" si="41"/>
        <v>0</v>
      </c>
    </row>
    <row r="220" spans="3:14" hidden="1">
      <c r="C220" s="810" t="b">
        <f t="shared" ref="C220:C254" si="43">IF(D220="-",TRUE,FALSE)</f>
        <v>1</v>
      </c>
      <c r="D220" s="807" t="str">
        <f t="shared" si="42"/>
        <v>-</v>
      </c>
      <c r="E220" s="806">
        <f t="shared" ref="E220:N235" si="44">IF(ISERROR(MATCH($D220,E$22:E$42,0)),0,INDEX($C$22:$C$42,MATCH($D220,E$22:E$42,0)))</f>
        <v>0</v>
      </c>
      <c r="F220" s="806">
        <f t="shared" si="44"/>
        <v>0</v>
      </c>
      <c r="G220" s="806">
        <f t="shared" si="44"/>
        <v>0</v>
      </c>
      <c r="H220" s="806">
        <f t="shared" si="44"/>
        <v>0</v>
      </c>
      <c r="I220" s="806">
        <f t="shared" si="44"/>
        <v>0</v>
      </c>
      <c r="J220" s="806">
        <f t="shared" si="44"/>
        <v>0</v>
      </c>
      <c r="K220" s="806">
        <f t="shared" si="44"/>
        <v>0</v>
      </c>
      <c r="L220" s="806">
        <f t="shared" si="44"/>
        <v>0</v>
      </c>
      <c r="M220" s="806">
        <f t="shared" si="44"/>
        <v>0</v>
      </c>
      <c r="N220" s="806">
        <f t="shared" si="44"/>
        <v>0</v>
      </c>
    </row>
    <row r="221" spans="3:14" hidden="1">
      <c r="C221" s="810" t="b">
        <f t="shared" si="43"/>
        <v>1</v>
      </c>
      <c r="D221" s="807" t="str">
        <f t="shared" si="42"/>
        <v>-</v>
      </c>
      <c r="E221" s="806">
        <f t="shared" si="44"/>
        <v>0</v>
      </c>
      <c r="F221" s="806">
        <f t="shared" si="44"/>
        <v>0</v>
      </c>
      <c r="G221" s="806">
        <f t="shared" si="44"/>
        <v>0</v>
      </c>
      <c r="H221" s="806">
        <f t="shared" si="44"/>
        <v>0</v>
      </c>
      <c r="I221" s="806">
        <f t="shared" si="44"/>
        <v>0</v>
      </c>
      <c r="J221" s="806">
        <f t="shared" si="44"/>
        <v>0</v>
      </c>
      <c r="K221" s="806">
        <f t="shared" si="44"/>
        <v>0</v>
      </c>
      <c r="L221" s="806">
        <f t="shared" si="44"/>
        <v>0</v>
      </c>
      <c r="M221" s="806">
        <f t="shared" si="44"/>
        <v>0</v>
      </c>
      <c r="N221" s="806">
        <f t="shared" si="44"/>
        <v>0</v>
      </c>
    </row>
    <row r="222" spans="3:14" hidden="1">
      <c r="C222" s="810" t="b">
        <f t="shared" si="43"/>
        <v>1</v>
      </c>
      <c r="D222" s="807" t="str">
        <f t="shared" si="42"/>
        <v>-</v>
      </c>
      <c r="E222" s="806">
        <f t="shared" si="44"/>
        <v>0</v>
      </c>
      <c r="F222" s="806">
        <f t="shared" si="44"/>
        <v>0</v>
      </c>
      <c r="G222" s="806">
        <f t="shared" si="44"/>
        <v>0</v>
      </c>
      <c r="H222" s="806">
        <f t="shared" si="44"/>
        <v>0</v>
      </c>
      <c r="I222" s="806">
        <f t="shared" si="44"/>
        <v>0</v>
      </c>
      <c r="J222" s="806">
        <f t="shared" si="44"/>
        <v>0</v>
      </c>
      <c r="K222" s="806">
        <f t="shared" si="44"/>
        <v>0</v>
      </c>
      <c r="L222" s="806">
        <f t="shared" si="44"/>
        <v>0</v>
      </c>
      <c r="M222" s="806">
        <f t="shared" si="44"/>
        <v>0</v>
      </c>
      <c r="N222" s="806">
        <f t="shared" si="44"/>
        <v>0</v>
      </c>
    </row>
    <row r="223" spans="3:14" hidden="1">
      <c r="C223" s="810" t="b">
        <f t="shared" si="43"/>
        <v>1</v>
      </c>
      <c r="D223" s="807" t="str">
        <f t="shared" si="42"/>
        <v>-</v>
      </c>
      <c r="E223" s="806">
        <f t="shared" si="44"/>
        <v>0</v>
      </c>
      <c r="F223" s="806">
        <f t="shared" si="44"/>
        <v>0</v>
      </c>
      <c r="G223" s="806">
        <f t="shared" si="44"/>
        <v>0</v>
      </c>
      <c r="H223" s="806">
        <f t="shared" si="44"/>
        <v>0</v>
      </c>
      <c r="I223" s="806">
        <f t="shared" si="44"/>
        <v>0</v>
      </c>
      <c r="J223" s="806">
        <f t="shared" si="44"/>
        <v>0</v>
      </c>
      <c r="K223" s="806">
        <f t="shared" si="44"/>
        <v>0</v>
      </c>
      <c r="L223" s="806">
        <f t="shared" si="44"/>
        <v>0</v>
      </c>
      <c r="M223" s="806">
        <f t="shared" si="44"/>
        <v>0</v>
      </c>
      <c r="N223" s="806">
        <f t="shared" si="44"/>
        <v>0</v>
      </c>
    </row>
    <row r="224" spans="3:14" hidden="1">
      <c r="C224" s="810" t="b">
        <f t="shared" si="43"/>
        <v>1</v>
      </c>
      <c r="D224" s="807" t="str">
        <f t="shared" si="42"/>
        <v>-</v>
      </c>
      <c r="E224" s="806">
        <f t="shared" si="44"/>
        <v>0</v>
      </c>
      <c r="F224" s="806">
        <f t="shared" si="44"/>
        <v>0</v>
      </c>
      <c r="G224" s="806">
        <f t="shared" si="44"/>
        <v>0</v>
      </c>
      <c r="H224" s="806">
        <f t="shared" si="44"/>
        <v>0</v>
      </c>
      <c r="I224" s="806">
        <f t="shared" si="44"/>
        <v>0</v>
      </c>
      <c r="J224" s="806">
        <f t="shared" si="44"/>
        <v>0</v>
      </c>
      <c r="K224" s="806">
        <f t="shared" si="44"/>
        <v>0</v>
      </c>
      <c r="L224" s="806">
        <f t="shared" si="44"/>
        <v>0</v>
      </c>
      <c r="M224" s="806">
        <f t="shared" si="44"/>
        <v>0</v>
      </c>
      <c r="N224" s="806">
        <f t="shared" si="44"/>
        <v>0</v>
      </c>
    </row>
    <row r="225" spans="3:14" hidden="1">
      <c r="C225" s="810" t="b">
        <f t="shared" si="43"/>
        <v>1</v>
      </c>
      <c r="D225" s="807" t="str">
        <f t="shared" si="42"/>
        <v>-</v>
      </c>
      <c r="E225" s="806">
        <f t="shared" si="44"/>
        <v>0</v>
      </c>
      <c r="F225" s="806">
        <f t="shared" si="44"/>
        <v>0</v>
      </c>
      <c r="G225" s="806">
        <f t="shared" si="44"/>
        <v>0</v>
      </c>
      <c r="H225" s="806">
        <f t="shared" si="44"/>
        <v>0</v>
      </c>
      <c r="I225" s="806">
        <f t="shared" si="44"/>
        <v>0</v>
      </c>
      <c r="J225" s="806">
        <f t="shared" si="44"/>
        <v>0</v>
      </c>
      <c r="K225" s="806">
        <f t="shared" si="44"/>
        <v>0</v>
      </c>
      <c r="L225" s="806">
        <f t="shared" si="44"/>
        <v>0</v>
      </c>
      <c r="M225" s="806">
        <f t="shared" si="44"/>
        <v>0</v>
      </c>
      <c r="N225" s="806">
        <f t="shared" si="44"/>
        <v>0</v>
      </c>
    </row>
    <row r="226" spans="3:14" hidden="1">
      <c r="C226" s="810" t="b">
        <f t="shared" si="43"/>
        <v>1</v>
      </c>
      <c r="D226" s="807" t="str">
        <f t="shared" si="42"/>
        <v>-</v>
      </c>
      <c r="E226" s="806">
        <f t="shared" si="44"/>
        <v>0</v>
      </c>
      <c r="F226" s="806">
        <f t="shared" si="44"/>
        <v>0</v>
      </c>
      <c r="G226" s="806">
        <f t="shared" si="44"/>
        <v>0</v>
      </c>
      <c r="H226" s="806">
        <f t="shared" si="44"/>
        <v>0</v>
      </c>
      <c r="I226" s="806">
        <f t="shared" si="44"/>
        <v>0</v>
      </c>
      <c r="J226" s="806">
        <f t="shared" si="44"/>
        <v>0</v>
      </c>
      <c r="K226" s="806">
        <f t="shared" si="44"/>
        <v>0</v>
      </c>
      <c r="L226" s="806">
        <f t="shared" si="44"/>
        <v>0</v>
      </c>
      <c r="M226" s="806">
        <f t="shared" si="44"/>
        <v>0</v>
      </c>
      <c r="N226" s="806">
        <f t="shared" si="44"/>
        <v>0</v>
      </c>
    </row>
    <row r="227" spans="3:14" hidden="1">
      <c r="C227" s="810" t="b">
        <f t="shared" si="43"/>
        <v>1</v>
      </c>
      <c r="D227" s="807" t="str">
        <f t="shared" si="42"/>
        <v>-</v>
      </c>
      <c r="E227" s="806">
        <f t="shared" si="44"/>
        <v>0</v>
      </c>
      <c r="F227" s="806">
        <f t="shared" si="44"/>
        <v>0</v>
      </c>
      <c r="G227" s="806">
        <f t="shared" si="44"/>
        <v>0</v>
      </c>
      <c r="H227" s="806">
        <f t="shared" si="44"/>
        <v>0</v>
      </c>
      <c r="I227" s="806">
        <f t="shared" si="44"/>
        <v>0</v>
      </c>
      <c r="J227" s="806">
        <f t="shared" si="44"/>
        <v>0</v>
      </c>
      <c r="K227" s="806">
        <f t="shared" si="44"/>
        <v>0</v>
      </c>
      <c r="L227" s="806">
        <f t="shared" si="44"/>
        <v>0</v>
      </c>
      <c r="M227" s="806">
        <f t="shared" si="44"/>
        <v>0</v>
      </c>
      <c r="N227" s="806">
        <f t="shared" si="44"/>
        <v>0</v>
      </c>
    </row>
    <row r="228" spans="3:14" hidden="1">
      <c r="C228" s="810" t="b">
        <f t="shared" si="43"/>
        <v>1</v>
      </c>
      <c r="D228" s="807" t="str">
        <f t="shared" si="42"/>
        <v>-</v>
      </c>
      <c r="E228" s="806">
        <f t="shared" si="44"/>
        <v>0</v>
      </c>
      <c r="F228" s="806">
        <f t="shared" si="44"/>
        <v>0</v>
      </c>
      <c r="G228" s="806">
        <f t="shared" si="44"/>
        <v>0</v>
      </c>
      <c r="H228" s="806">
        <f t="shared" si="44"/>
        <v>0</v>
      </c>
      <c r="I228" s="806">
        <f t="shared" si="44"/>
        <v>0</v>
      </c>
      <c r="J228" s="806">
        <f t="shared" si="44"/>
        <v>0</v>
      </c>
      <c r="K228" s="806">
        <f t="shared" si="44"/>
        <v>0</v>
      </c>
      <c r="L228" s="806">
        <f t="shared" si="44"/>
        <v>0</v>
      </c>
      <c r="M228" s="806">
        <f t="shared" si="44"/>
        <v>0</v>
      </c>
      <c r="N228" s="806">
        <f t="shared" si="44"/>
        <v>0</v>
      </c>
    </row>
    <row r="229" spans="3:14" hidden="1">
      <c r="C229" s="810" t="b">
        <f t="shared" si="43"/>
        <v>1</v>
      </c>
      <c r="D229" s="807" t="str">
        <f t="shared" si="42"/>
        <v>-</v>
      </c>
      <c r="E229" s="806">
        <f t="shared" si="44"/>
        <v>0</v>
      </c>
      <c r="F229" s="806">
        <f t="shared" si="44"/>
        <v>0</v>
      </c>
      <c r="G229" s="806">
        <f t="shared" si="44"/>
        <v>0</v>
      </c>
      <c r="H229" s="806">
        <f t="shared" si="44"/>
        <v>0</v>
      </c>
      <c r="I229" s="806">
        <f t="shared" si="44"/>
        <v>0</v>
      </c>
      <c r="J229" s="806">
        <f t="shared" si="44"/>
        <v>0</v>
      </c>
      <c r="K229" s="806">
        <f t="shared" si="44"/>
        <v>0</v>
      </c>
      <c r="L229" s="806">
        <f t="shared" si="44"/>
        <v>0</v>
      </c>
      <c r="M229" s="806">
        <f t="shared" si="44"/>
        <v>0</v>
      </c>
      <c r="N229" s="806">
        <f t="shared" si="44"/>
        <v>0</v>
      </c>
    </row>
    <row r="230" spans="3:14" hidden="1">
      <c r="C230" s="810" t="b">
        <f t="shared" si="43"/>
        <v>1</v>
      </c>
      <c r="D230" s="807" t="str">
        <f t="shared" si="42"/>
        <v>-</v>
      </c>
      <c r="E230" s="806">
        <f t="shared" si="44"/>
        <v>0</v>
      </c>
      <c r="F230" s="806">
        <f t="shared" si="44"/>
        <v>0</v>
      </c>
      <c r="G230" s="806">
        <f t="shared" si="44"/>
        <v>0</v>
      </c>
      <c r="H230" s="806">
        <f t="shared" si="44"/>
        <v>0</v>
      </c>
      <c r="I230" s="806">
        <f t="shared" si="44"/>
        <v>0</v>
      </c>
      <c r="J230" s="806">
        <f t="shared" si="44"/>
        <v>0</v>
      </c>
      <c r="K230" s="806">
        <f t="shared" si="44"/>
        <v>0</v>
      </c>
      <c r="L230" s="806">
        <f t="shared" si="44"/>
        <v>0</v>
      </c>
      <c r="M230" s="806">
        <f t="shared" si="44"/>
        <v>0</v>
      </c>
      <c r="N230" s="806">
        <f t="shared" si="44"/>
        <v>0</v>
      </c>
    </row>
    <row r="231" spans="3:14" hidden="1">
      <c r="C231" s="810" t="b">
        <f t="shared" si="43"/>
        <v>1</v>
      </c>
      <c r="D231" s="807" t="str">
        <f t="shared" si="42"/>
        <v>-</v>
      </c>
      <c r="E231" s="806">
        <f t="shared" si="44"/>
        <v>0</v>
      </c>
      <c r="F231" s="806">
        <f t="shared" si="44"/>
        <v>0</v>
      </c>
      <c r="G231" s="806">
        <f t="shared" si="44"/>
        <v>0</v>
      </c>
      <c r="H231" s="806">
        <f t="shared" si="44"/>
        <v>0</v>
      </c>
      <c r="I231" s="806">
        <f t="shared" si="44"/>
        <v>0</v>
      </c>
      <c r="J231" s="806">
        <f t="shared" si="44"/>
        <v>0</v>
      </c>
      <c r="K231" s="806">
        <f t="shared" si="44"/>
        <v>0</v>
      </c>
      <c r="L231" s="806">
        <f t="shared" si="44"/>
        <v>0</v>
      </c>
      <c r="M231" s="806">
        <f t="shared" si="44"/>
        <v>0</v>
      </c>
      <c r="N231" s="806">
        <f t="shared" si="44"/>
        <v>0</v>
      </c>
    </row>
    <row r="232" spans="3:14" hidden="1">
      <c r="C232" s="810" t="b">
        <f t="shared" si="43"/>
        <v>1</v>
      </c>
      <c r="D232" s="807" t="str">
        <f t="shared" si="42"/>
        <v>-</v>
      </c>
      <c r="E232" s="806">
        <f t="shared" si="44"/>
        <v>0</v>
      </c>
      <c r="F232" s="806">
        <f t="shared" si="44"/>
        <v>0</v>
      </c>
      <c r="G232" s="806">
        <f t="shared" si="44"/>
        <v>0</v>
      </c>
      <c r="H232" s="806">
        <f t="shared" si="44"/>
        <v>0</v>
      </c>
      <c r="I232" s="806">
        <f t="shared" si="44"/>
        <v>0</v>
      </c>
      <c r="J232" s="806">
        <f t="shared" si="44"/>
        <v>0</v>
      </c>
      <c r="K232" s="806">
        <f t="shared" si="44"/>
        <v>0</v>
      </c>
      <c r="L232" s="806">
        <f t="shared" si="44"/>
        <v>0</v>
      </c>
      <c r="M232" s="806">
        <f t="shared" si="44"/>
        <v>0</v>
      </c>
      <c r="N232" s="806">
        <f t="shared" si="44"/>
        <v>0</v>
      </c>
    </row>
    <row r="233" spans="3:14" hidden="1">
      <c r="C233" s="810" t="b">
        <f t="shared" si="43"/>
        <v>1</v>
      </c>
      <c r="D233" s="807" t="str">
        <f t="shared" si="42"/>
        <v>-</v>
      </c>
      <c r="E233" s="806">
        <f t="shared" si="44"/>
        <v>0</v>
      </c>
      <c r="F233" s="806">
        <f t="shared" si="44"/>
        <v>0</v>
      </c>
      <c r="G233" s="806">
        <f t="shared" si="44"/>
        <v>0</v>
      </c>
      <c r="H233" s="806">
        <f t="shared" si="44"/>
        <v>0</v>
      </c>
      <c r="I233" s="806">
        <f t="shared" si="44"/>
        <v>0</v>
      </c>
      <c r="J233" s="806">
        <f t="shared" si="44"/>
        <v>0</v>
      </c>
      <c r="K233" s="806">
        <f t="shared" si="44"/>
        <v>0</v>
      </c>
      <c r="L233" s="806">
        <f t="shared" si="44"/>
        <v>0</v>
      </c>
      <c r="M233" s="806">
        <f t="shared" si="44"/>
        <v>0</v>
      </c>
      <c r="N233" s="806">
        <f t="shared" si="44"/>
        <v>0</v>
      </c>
    </row>
    <row r="234" spans="3:14" hidden="1">
      <c r="C234" s="810" t="b">
        <f t="shared" si="43"/>
        <v>1</v>
      </c>
      <c r="D234" s="807" t="str">
        <f t="shared" si="42"/>
        <v>-</v>
      </c>
      <c r="E234" s="806">
        <f t="shared" si="44"/>
        <v>0</v>
      </c>
      <c r="F234" s="806">
        <f t="shared" si="44"/>
        <v>0</v>
      </c>
      <c r="G234" s="806">
        <f t="shared" si="44"/>
        <v>0</v>
      </c>
      <c r="H234" s="806">
        <f t="shared" si="44"/>
        <v>0</v>
      </c>
      <c r="I234" s="806">
        <f t="shared" si="44"/>
        <v>0</v>
      </c>
      <c r="J234" s="806">
        <f t="shared" si="44"/>
        <v>0</v>
      </c>
      <c r="K234" s="806">
        <f t="shared" si="44"/>
        <v>0</v>
      </c>
      <c r="L234" s="806">
        <f t="shared" si="44"/>
        <v>0</v>
      </c>
      <c r="M234" s="806">
        <f t="shared" si="44"/>
        <v>0</v>
      </c>
      <c r="N234" s="806">
        <f t="shared" si="44"/>
        <v>0</v>
      </c>
    </row>
    <row r="235" spans="3:14" hidden="1">
      <c r="C235" s="810" t="b">
        <f t="shared" si="43"/>
        <v>1</v>
      </c>
      <c r="D235" s="807" t="str">
        <f t="shared" si="42"/>
        <v>-</v>
      </c>
      <c r="E235" s="806">
        <f t="shared" si="44"/>
        <v>0</v>
      </c>
      <c r="F235" s="806">
        <f t="shared" si="44"/>
        <v>0</v>
      </c>
      <c r="G235" s="806">
        <f t="shared" si="44"/>
        <v>0</v>
      </c>
      <c r="H235" s="806">
        <f t="shared" si="44"/>
        <v>0</v>
      </c>
      <c r="I235" s="806">
        <f t="shared" si="44"/>
        <v>0</v>
      </c>
      <c r="J235" s="806">
        <f t="shared" si="44"/>
        <v>0</v>
      </c>
      <c r="K235" s="806">
        <f t="shared" si="44"/>
        <v>0</v>
      </c>
      <c r="L235" s="806">
        <f t="shared" si="44"/>
        <v>0</v>
      </c>
      <c r="M235" s="806">
        <f t="shared" si="44"/>
        <v>0</v>
      </c>
      <c r="N235" s="806">
        <f t="shared" si="44"/>
        <v>0</v>
      </c>
    </row>
    <row r="236" spans="3:14" hidden="1">
      <c r="C236" s="810" t="b">
        <f t="shared" si="43"/>
        <v>1</v>
      </c>
      <c r="D236" s="807" t="str">
        <f t="shared" si="42"/>
        <v>-</v>
      </c>
      <c r="E236" s="806">
        <f t="shared" ref="E236:N251" si="45">IF(ISERROR(MATCH($D236,E$22:E$42,0)),0,INDEX($C$22:$C$42,MATCH($D236,E$22:E$42,0)))</f>
        <v>0</v>
      </c>
      <c r="F236" s="806">
        <f t="shared" si="45"/>
        <v>0</v>
      </c>
      <c r="G236" s="806">
        <f t="shared" si="45"/>
        <v>0</v>
      </c>
      <c r="H236" s="806">
        <f t="shared" si="45"/>
        <v>0</v>
      </c>
      <c r="I236" s="806">
        <f t="shared" si="45"/>
        <v>0</v>
      </c>
      <c r="J236" s="806">
        <f t="shared" si="45"/>
        <v>0</v>
      </c>
      <c r="K236" s="806">
        <f t="shared" si="45"/>
        <v>0</v>
      </c>
      <c r="L236" s="806">
        <f t="shared" si="45"/>
        <v>0</v>
      </c>
      <c r="M236" s="806">
        <f t="shared" si="45"/>
        <v>0</v>
      </c>
      <c r="N236" s="806">
        <f t="shared" si="45"/>
        <v>0</v>
      </c>
    </row>
    <row r="237" spans="3:14" hidden="1">
      <c r="C237" s="810" t="b">
        <f t="shared" si="43"/>
        <v>1</v>
      </c>
      <c r="D237" s="807" t="str">
        <f t="shared" si="42"/>
        <v>-</v>
      </c>
      <c r="E237" s="806">
        <f t="shared" si="45"/>
        <v>0</v>
      </c>
      <c r="F237" s="806">
        <f t="shared" si="45"/>
        <v>0</v>
      </c>
      <c r="G237" s="806">
        <f t="shared" si="45"/>
        <v>0</v>
      </c>
      <c r="H237" s="806">
        <f t="shared" si="45"/>
        <v>0</v>
      </c>
      <c r="I237" s="806">
        <f t="shared" si="45"/>
        <v>0</v>
      </c>
      <c r="J237" s="806">
        <f t="shared" si="45"/>
        <v>0</v>
      </c>
      <c r="K237" s="806">
        <f t="shared" si="45"/>
        <v>0</v>
      </c>
      <c r="L237" s="806">
        <f t="shared" si="45"/>
        <v>0</v>
      </c>
      <c r="M237" s="806">
        <f t="shared" si="45"/>
        <v>0</v>
      </c>
      <c r="N237" s="806">
        <f t="shared" si="45"/>
        <v>0</v>
      </c>
    </row>
    <row r="238" spans="3:14" hidden="1">
      <c r="C238" s="810" t="b">
        <f t="shared" si="43"/>
        <v>1</v>
      </c>
      <c r="D238" s="807" t="str">
        <f t="shared" si="42"/>
        <v>-</v>
      </c>
      <c r="E238" s="806">
        <f t="shared" si="45"/>
        <v>0</v>
      </c>
      <c r="F238" s="806">
        <f t="shared" si="45"/>
        <v>0</v>
      </c>
      <c r="G238" s="806">
        <f t="shared" si="45"/>
        <v>0</v>
      </c>
      <c r="H238" s="806">
        <f t="shared" si="45"/>
        <v>0</v>
      </c>
      <c r="I238" s="806">
        <f t="shared" si="45"/>
        <v>0</v>
      </c>
      <c r="J238" s="806">
        <f t="shared" si="45"/>
        <v>0</v>
      </c>
      <c r="K238" s="806">
        <f t="shared" si="45"/>
        <v>0</v>
      </c>
      <c r="L238" s="806">
        <f t="shared" si="45"/>
        <v>0</v>
      </c>
      <c r="M238" s="806">
        <f t="shared" si="45"/>
        <v>0</v>
      </c>
      <c r="N238" s="806">
        <f t="shared" si="45"/>
        <v>0</v>
      </c>
    </row>
    <row r="239" spans="3:14" hidden="1">
      <c r="C239" s="810" t="b">
        <f t="shared" si="43"/>
        <v>1</v>
      </c>
      <c r="D239" s="807" t="str">
        <f t="shared" si="42"/>
        <v>-</v>
      </c>
      <c r="E239" s="806">
        <f t="shared" si="45"/>
        <v>0</v>
      </c>
      <c r="F239" s="806">
        <f t="shared" si="45"/>
        <v>0</v>
      </c>
      <c r="G239" s="806">
        <f t="shared" si="45"/>
        <v>0</v>
      </c>
      <c r="H239" s="806">
        <f t="shared" si="45"/>
        <v>0</v>
      </c>
      <c r="I239" s="806">
        <f t="shared" si="45"/>
        <v>0</v>
      </c>
      <c r="J239" s="806">
        <f t="shared" si="45"/>
        <v>0</v>
      </c>
      <c r="K239" s="806">
        <f t="shared" si="45"/>
        <v>0</v>
      </c>
      <c r="L239" s="806">
        <f t="shared" si="45"/>
        <v>0</v>
      </c>
      <c r="M239" s="806">
        <f t="shared" si="45"/>
        <v>0</v>
      </c>
      <c r="N239" s="806">
        <f t="shared" si="45"/>
        <v>0</v>
      </c>
    </row>
    <row r="240" spans="3:14" hidden="1">
      <c r="C240" s="810" t="b">
        <f t="shared" si="43"/>
        <v>1</v>
      </c>
      <c r="D240" s="807" t="str">
        <f t="shared" si="42"/>
        <v>-</v>
      </c>
      <c r="E240" s="806">
        <f t="shared" si="45"/>
        <v>0</v>
      </c>
      <c r="F240" s="806">
        <f t="shared" si="45"/>
        <v>0</v>
      </c>
      <c r="G240" s="806">
        <f t="shared" si="45"/>
        <v>0</v>
      </c>
      <c r="H240" s="806">
        <f t="shared" si="45"/>
        <v>0</v>
      </c>
      <c r="I240" s="806">
        <f t="shared" si="45"/>
        <v>0</v>
      </c>
      <c r="J240" s="806">
        <f t="shared" si="45"/>
        <v>0</v>
      </c>
      <c r="K240" s="806">
        <f t="shared" si="45"/>
        <v>0</v>
      </c>
      <c r="L240" s="806">
        <f t="shared" si="45"/>
        <v>0</v>
      </c>
      <c r="M240" s="806">
        <f t="shared" si="45"/>
        <v>0</v>
      </c>
      <c r="N240" s="806">
        <f t="shared" si="45"/>
        <v>0</v>
      </c>
    </row>
    <row r="241" spans="3:14" hidden="1">
      <c r="C241" s="810" t="b">
        <f t="shared" si="43"/>
        <v>1</v>
      </c>
      <c r="D241" s="807" t="str">
        <f t="shared" si="42"/>
        <v>-</v>
      </c>
      <c r="E241" s="806">
        <f t="shared" si="45"/>
        <v>0</v>
      </c>
      <c r="F241" s="806">
        <f t="shared" si="45"/>
        <v>0</v>
      </c>
      <c r="G241" s="806">
        <f t="shared" si="45"/>
        <v>0</v>
      </c>
      <c r="H241" s="806">
        <f t="shared" si="45"/>
        <v>0</v>
      </c>
      <c r="I241" s="806">
        <f t="shared" si="45"/>
        <v>0</v>
      </c>
      <c r="J241" s="806">
        <f t="shared" si="45"/>
        <v>0</v>
      </c>
      <c r="K241" s="806">
        <f t="shared" si="45"/>
        <v>0</v>
      </c>
      <c r="L241" s="806">
        <f t="shared" si="45"/>
        <v>0</v>
      </c>
      <c r="M241" s="806">
        <f t="shared" si="45"/>
        <v>0</v>
      </c>
      <c r="N241" s="806">
        <f t="shared" si="45"/>
        <v>0</v>
      </c>
    </row>
    <row r="242" spans="3:14" hidden="1">
      <c r="C242" s="810" t="b">
        <f t="shared" si="43"/>
        <v>1</v>
      </c>
      <c r="D242" s="807" t="str">
        <f t="shared" si="42"/>
        <v>-</v>
      </c>
      <c r="E242" s="806">
        <f t="shared" si="45"/>
        <v>0</v>
      </c>
      <c r="F242" s="806">
        <f t="shared" si="45"/>
        <v>0</v>
      </c>
      <c r="G242" s="806">
        <f t="shared" si="45"/>
        <v>0</v>
      </c>
      <c r="H242" s="806">
        <f t="shared" si="45"/>
        <v>0</v>
      </c>
      <c r="I242" s="806">
        <f t="shared" si="45"/>
        <v>0</v>
      </c>
      <c r="J242" s="806">
        <f t="shared" si="45"/>
        <v>0</v>
      </c>
      <c r="K242" s="806">
        <f t="shared" si="45"/>
        <v>0</v>
      </c>
      <c r="L242" s="806">
        <f t="shared" si="45"/>
        <v>0</v>
      </c>
      <c r="M242" s="806">
        <f t="shared" si="45"/>
        <v>0</v>
      </c>
      <c r="N242" s="806">
        <f t="shared" si="45"/>
        <v>0</v>
      </c>
    </row>
    <row r="243" spans="3:14" hidden="1">
      <c r="C243" s="810" t="b">
        <f t="shared" si="43"/>
        <v>1</v>
      </c>
      <c r="D243" s="807" t="str">
        <f t="shared" si="42"/>
        <v>-</v>
      </c>
      <c r="E243" s="806">
        <f t="shared" si="45"/>
        <v>0</v>
      </c>
      <c r="F243" s="806">
        <f t="shared" si="45"/>
        <v>0</v>
      </c>
      <c r="G243" s="806">
        <f t="shared" si="45"/>
        <v>0</v>
      </c>
      <c r="H243" s="806">
        <f t="shared" si="45"/>
        <v>0</v>
      </c>
      <c r="I243" s="806">
        <f t="shared" si="45"/>
        <v>0</v>
      </c>
      <c r="J243" s="806">
        <f t="shared" si="45"/>
        <v>0</v>
      </c>
      <c r="K243" s="806">
        <f t="shared" si="45"/>
        <v>0</v>
      </c>
      <c r="L243" s="806">
        <f t="shared" si="45"/>
        <v>0</v>
      </c>
      <c r="M243" s="806">
        <f t="shared" si="45"/>
        <v>0</v>
      </c>
      <c r="N243" s="806">
        <f t="shared" si="45"/>
        <v>0</v>
      </c>
    </row>
    <row r="244" spans="3:14" hidden="1">
      <c r="C244" s="810" t="b">
        <f t="shared" si="43"/>
        <v>1</v>
      </c>
      <c r="D244" s="807" t="str">
        <f t="shared" si="42"/>
        <v>-</v>
      </c>
      <c r="E244" s="806">
        <f t="shared" si="45"/>
        <v>0</v>
      </c>
      <c r="F244" s="806">
        <f t="shared" si="45"/>
        <v>0</v>
      </c>
      <c r="G244" s="806">
        <f t="shared" si="45"/>
        <v>0</v>
      </c>
      <c r="H244" s="806">
        <f t="shared" si="45"/>
        <v>0</v>
      </c>
      <c r="I244" s="806">
        <f t="shared" si="45"/>
        <v>0</v>
      </c>
      <c r="J244" s="806">
        <f t="shared" si="45"/>
        <v>0</v>
      </c>
      <c r="K244" s="806">
        <f t="shared" si="45"/>
        <v>0</v>
      </c>
      <c r="L244" s="806">
        <f t="shared" si="45"/>
        <v>0</v>
      </c>
      <c r="M244" s="806">
        <f t="shared" si="45"/>
        <v>0</v>
      </c>
      <c r="N244" s="806">
        <f t="shared" si="45"/>
        <v>0</v>
      </c>
    </row>
    <row r="245" spans="3:14" hidden="1">
      <c r="C245" s="810" t="b">
        <f t="shared" si="43"/>
        <v>1</v>
      </c>
      <c r="D245" s="807" t="str">
        <f t="shared" si="42"/>
        <v>-</v>
      </c>
      <c r="E245" s="806">
        <f t="shared" si="45"/>
        <v>0</v>
      </c>
      <c r="F245" s="806">
        <f t="shared" si="45"/>
        <v>0</v>
      </c>
      <c r="G245" s="806">
        <f t="shared" si="45"/>
        <v>0</v>
      </c>
      <c r="H245" s="806">
        <f t="shared" si="45"/>
        <v>0</v>
      </c>
      <c r="I245" s="806">
        <f t="shared" si="45"/>
        <v>0</v>
      </c>
      <c r="J245" s="806">
        <f t="shared" si="45"/>
        <v>0</v>
      </c>
      <c r="K245" s="806">
        <f t="shared" si="45"/>
        <v>0</v>
      </c>
      <c r="L245" s="806">
        <f t="shared" si="45"/>
        <v>0</v>
      </c>
      <c r="M245" s="806">
        <f t="shared" si="45"/>
        <v>0</v>
      </c>
      <c r="N245" s="806">
        <f t="shared" si="45"/>
        <v>0</v>
      </c>
    </row>
    <row r="246" spans="3:14" hidden="1">
      <c r="C246" s="810" t="b">
        <f t="shared" si="43"/>
        <v>1</v>
      </c>
      <c r="D246" s="807" t="str">
        <f t="shared" si="42"/>
        <v>-</v>
      </c>
      <c r="E246" s="806">
        <f t="shared" si="45"/>
        <v>0</v>
      </c>
      <c r="F246" s="806">
        <f t="shared" si="45"/>
        <v>0</v>
      </c>
      <c r="G246" s="806">
        <f t="shared" si="45"/>
        <v>0</v>
      </c>
      <c r="H246" s="806">
        <f t="shared" si="45"/>
        <v>0</v>
      </c>
      <c r="I246" s="806">
        <f t="shared" si="45"/>
        <v>0</v>
      </c>
      <c r="J246" s="806">
        <f t="shared" si="45"/>
        <v>0</v>
      </c>
      <c r="K246" s="806">
        <f t="shared" si="45"/>
        <v>0</v>
      </c>
      <c r="L246" s="806">
        <f t="shared" si="45"/>
        <v>0</v>
      </c>
      <c r="M246" s="806">
        <f t="shared" si="45"/>
        <v>0</v>
      </c>
      <c r="N246" s="806">
        <f t="shared" si="45"/>
        <v>0</v>
      </c>
    </row>
    <row r="247" spans="3:14" hidden="1">
      <c r="C247" s="810" t="b">
        <f t="shared" si="43"/>
        <v>1</v>
      </c>
      <c r="D247" s="807" t="str">
        <f t="shared" si="42"/>
        <v>-</v>
      </c>
      <c r="E247" s="806">
        <f t="shared" si="45"/>
        <v>0</v>
      </c>
      <c r="F247" s="806">
        <f t="shared" si="45"/>
        <v>0</v>
      </c>
      <c r="G247" s="806">
        <f t="shared" si="45"/>
        <v>0</v>
      </c>
      <c r="H247" s="806">
        <f t="shared" si="45"/>
        <v>0</v>
      </c>
      <c r="I247" s="806">
        <f t="shared" si="45"/>
        <v>0</v>
      </c>
      <c r="J247" s="806">
        <f t="shared" si="45"/>
        <v>0</v>
      </c>
      <c r="K247" s="806">
        <f t="shared" si="45"/>
        <v>0</v>
      </c>
      <c r="L247" s="806">
        <f t="shared" si="45"/>
        <v>0</v>
      </c>
      <c r="M247" s="806">
        <f t="shared" si="45"/>
        <v>0</v>
      </c>
      <c r="N247" s="806">
        <f t="shared" si="45"/>
        <v>0</v>
      </c>
    </row>
    <row r="248" spans="3:14" hidden="1">
      <c r="C248" s="810" t="b">
        <f t="shared" si="43"/>
        <v>1</v>
      </c>
      <c r="D248" s="807" t="str">
        <f t="shared" si="42"/>
        <v>-</v>
      </c>
      <c r="E248" s="806">
        <f t="shared" si="45"/>
        <v>0</v>
      </c>
      <c r="F248" s="806">
        <f t="shared" si="45"/>
        <v>0</v>
      </c>
      <c r="G248" s="806">
        <f t="shared" si="45"/>
        <v>0</v>
      </c>
      <c r="H248" s="806">
        <f t="shared" si="45"/>
        <v>0</v>
      </c>
      <c r="I248" s="806">
        <f t="shared" si="45"/>
        <v>0</v>
      </c>
      <c r="J248" s="806">
        <f t="shared" si="45"/>
        <v>0</v>
      </c>
      <c r="K248" s="806">
        <f t="shared" si="45"/>
        <v>0</v>
      </c>
      <c r="L248" s="806">
        <f t="shared" si="45"/>
        <v>0</v>
      </c>
      <c r="M248" s="806">
        <f t="shared" si="45"/>
        <v>0</v>
      </c>
      <c r="N248" s="806">
        <f t="shared" si="45"/>
        <v>0</v>
      </c>
    </row>
    <row r="249" spans="3:14" hidden="1">
      <c r="C249" s="810" t="b">
        <f t="shared" si="43"/>
        <v>1</v>
      </c>
      <c r="D249" s="807" t="str">
        <f t="shared" si="42"/>
        <v>-</v>
      </c>
      <c r="E249" s="806">
        <f t="shared" si="45"/>
        <v>0</v>
      </c>
      <c r="F249" s="806">
        <f t="shared" si="45"/>
        <v>0</v>
      </c>
      <c r="G249" s="806">
        <f t="shared" si="45"/>
        <v>0</v>
      </c>
      <c r="H249" s="806">
        <f t="shared" si="45"/>
        <v>0</v>
      </c>
      <c r="I249" s="806">
        <f t="shared" si="45"/>
        <v>0</v>
      </c>
      <c r="J249" s="806">
        <f t="shared" si="45"/>
        <v>0</v>
      </c>
      <c r="K249" s="806">
        <f t="shared" si="45"/>
        <v>0</v>
      </c>
      <c r="L249" s="806">
        <f t="shared" si="45"/>
        <v>0</v>
      </c>
      <c r="M249" s="806">
        <f t="shared" si="45"/>
        <v>0</v>
      </c>
      <c r="N249" s="806">
        <f t="shared" si="45"/>
        <v>0</v>
      </c>
    </row>
    <row r="250" spans="3:14" hidden="1">
      <c r="C250" s="810" t="b">
        <f t="shared" si="43"/>
        <v>1</v>
      </c>
      <c r="D250" s="807" t="str">
        <f t="shared" si="42"/>
        <v>-</v>
      </c>
      <c r="E250" s="806">
        <f t="shared" si="45"/>
        <v>0</v>
      </c>
      <c r="F250" s="806">
        <f t="shared" si="45"/>
        <v>0</v>
      </c>
      <c r="G250" s="806">
        <f t="shared" si="45"/>
        <v>0</v>
      </c>
      <c r="H250" s="806">
        <f t="shared" si="45"/>
        <v>0</v>
      </c>
      <c r="I250" s="806">
        <f t="shared" si="45"/>
        <v>0</v>
      </c>
      <c r="J250" s="806">
        <f t="shared" si="45"/>
        <v>0</v>
      </c>
      <c r="K250" s="806">
        <f t="shared" si="45"/>
        <v>0</v>
      </c>
      <c r="L250" s="806">
        <f t="shared" si="45"/>
        <v>0</v>
      </c>
      <c r="M250" s="806">
        <f t="shared" si="45"/>
        <v>0</v>
      </c>
      <c r="N250" s="806">
        <f t="shared" si="45"/>
        <v>0</v>
      </c>
    </row>
    <row r="251" spans="3:14" hidden="1">
      <c r="C251" s="810" t="b">
        <f t="shared" si="43"/>
        <v>1</v>
      </c>
      <c r="D251" s="807" t="str">
        <f>D148</f>
        <v>-</v>
      </c>
      <c r="E251" s="806">
        <f t="shared" si="45"/>
        <v>0</v>
      </c>
      <c r="F251" s="806">
        <f t="shared" si="45"/>
        <v>0</v>
      </c>
      <c r="G251" s="806">
        <f t="shared" si="45"/>
        <v>0</v>
      </c>
      <c r="H251" s="806">
        <f t="shared" si="45"/>
        <v>0</v>
      </c>
      <c r="I251" s="806">
        <f t="shared" si="45"/>
        <v>0</v>
      </c>
      <c r="J251" s="806">
        <f t="shared" si="45"/>
        <v>0</v>
      </c>
      <c r="K251" s="806">
        <f t="shared" si="45"/>
        <v>0</v>
      </c>
      <c r="L251" s="806">
        <f t="shared" si="45"/>
        <v>0</v>
      </c>
      <c r="M251" s="806">
        <f t="shared" si="45"/>
        <v>0</v>
      </c>
      <c r="N251" s="806">
        <f t="shared" si="45"/>
        <v>0</v>
      </c>
    </row>
    <row r="252" spans="3:14" hidden="1">
      <c r="C252" s="810" t="b">
        <f t="shared" si="43"/>
        <v>1</v>
      </c>
      <c r="D252" s="807" t="str">
        <f>D149</f>
        <v>-</v>
      </c>
      <c r="E252" s="806">
        <f t="shared" ref="E252:N254" si="46">IF(ISERROR(MATCH($D252,E$22:E$42,0)),0,INDEX($C$22:$C$42,MATCH($D252,E$22:E$42,0)))</f>
        <v>0</v>
      </c>
      <c r="F252" s="806">
        <f t="shared" si="46"/>
        <v>0</v>
      </c>
      <c r="G252" s="806">
        <f t="shared" si="46"/>
        <v>0</v>
      </c>
      <c r="H252" s="806">
        <f t="shared" si="46"/>
        <v>0</v>
      </c>
      <c r="I252" s="806">
        <f t="shared" si="46"/>
        <v>0</v>
      </c>
      <c r="J252" s="806">
        <f t="shared" si="46"/>
        <v>0</v>
      </c>
      <c r="K252" s="806">
        <f t="shared" si="46"/>
        <v>0</v>
      </c>
      <c r="L252" s="806">
        <f t="shared" si="46"/>
        <v>0</v>
      </c>
      <c r="M252" s="806">
        <f t="shared" si="46"/>
        <v>0</v>
      </c>
      <c r="N252" s="806">
        <f t="shared" si="46"/>
        <v>0</v>
      </c>
    </row>
    <row r="253" spans="3:14" hidden="1">
      <c r="C253" s="810" t="b">
        <f t="shared" si="43"/>
        <v>1</v>
      </c>
      <c r="D253" s="807" t="str">
        <f>D150</f>
        <v>-</v>
      </c>
      <c r="E253" s="806">
        <f t="shared" si="46"/>
        <v>0</v>
      </c>
      <c r="F253" s="806">
        <f t="shared" si="46"/>
        <v>0</v>
      </c>
      <c r="G253" s="806">
        <f t="shared" si="46"/>
        <v>0</v>
      </c>
      <c r="H253" s="806">
        <f t="shared" si="46"/>
        <v>0</v>
      </c>
      <c r="I253" s="806">
        <f t="shared" si="46"/>
        <v>0</v>
      </c>
      <c r="J253" s="806">
        <f t="shared" si="46"/>
        <v>0</v>
      </c>
      <c r="K253" s="806">
        <f t="shared" si="46"/>
        <v>0</v>
      </c>
      <c r="L253" s="806">
        <f t="shared" si="46"/>
        <v>0</v>
      </c>
      <c r="M253" s="806">
        <f t="shared" si="46"/>
        <v>0</v>
      </c>
      <c r="N253" s="806">
        <f t="shared" si="46"/>
        <v>0</v>
      </c>
    </row>
    <row r="254" spans="3:14" hidden="1">
      <c r="C254" s="810" t="b">
        <f t="shared" si="43"/>
        <v>1</v>
      </c>
      <c r="D254" s="807" t="str">
        <f>D151</f>
        <v>-</v>
      </c>
      <c r="E254" s="806">
        <f t="shared" si="46"/>
        <v>0</v>
      </c>
      <c r="F254" s="806">
        <f t="shared" si="46"/>
        <v>0</v>
      </c>
      <c r="G254" s="806">
        <f t="shared" si="46"/>
        <v>0</v>
      </c>
      <c r="H254" s="806">
        <f t="shared" si="46"/>
        <v>0</v>
      </c>
      <c r="I254" s="806">
        <f t="shared" si="46"/>
        <v>0</v>
      </c>
      <c r="J254" s="806">
        <f t="shared" si="46"/>
        <v>0</v>
      </c>
      <c r="K254" s="806">
        <f t="shared" si="46"/>
        <v>0</v>
      </c>
      <c r="L254" s="806">
        <f t="shared" si="46"/>
        <v>0</v>
      </c>
      <c r="M254" s="806">
        <f t="shared" si="46"/>
        <v>0</v>
      </c>
      <c r="N254" s="806">
        <f t="shared" si="46"/>
        <v>0</v>
      </c>
    </row>
    <row r="255" spans="3:14">
      <c r="D255" s="805"/>
      <c r="N255" s="805" t="s">
        <v>2353</v>
      </c>
    </row>
    <row r="256" spans="3:14">
      <c r="D256" s="805"/>
    </row>
    <row r="257" spans="4:4">
      <c r="D257" s="805"/>
    </row>
    <row r="258" spans="4:4">
      <c r="D258" s="805"/>
    </row>
    <row r="259" spans="4:4">
      <c r="D259" s="805"/>
    </row>
    <row r="260" spans="4:4">
      <c r="D260" s="805"/>
    </row>
    <row r="261" spans="4:4">
      <c r="D261" s="805"/>
    </row>
    <row r="262" spans="4:4">
      <c r="D262" s="805"/>
    </row>
    <row r="263" spans="4:4">
      <c r="D263" s="805"/>
    </row>
    <row r="264" spans="4:4">
      <c r="D264" s="805"/>
    </row>
    <row r="265" spans="4:4">
      <c r="D265" s="805"/>
    </row>
    <row r="266" spans="4:4">
      <c r="D266" s="805"/>
    </row>
    <row r="267" spans="4:4">
      <c r="D267" s="805"/>
    </row>
    <row r="268" spans="4:4">
      <c r="D268" s="805"/>
    </row>
    <row r="269" spans="4:4">
      <c r="D269" s="805"/>
    </row>
    <row r="270" spans="4:4">
      <c r="D270" s="805"/>
    </row>
    <row r="271" spans="4:4">
      <c r="D271" s="805"/>
    </row>
    <row r="272" spans="4:4">
      <c r="D272" s="805"/>
    </row>
    <row r="273" spans="4:4">
      <c r="D273" s="805"/>
    </row>
    <row r="274" spans="4:4">
      <c r="D274" s="805"/>
    </row>
    <row r="275" spans="4:4">
      <c r="D275" s="805"/>
    </row>
    <row r="276" spans="4:4">
      <c r="D276" s="805"/>
    </row>
    <row r="277" spans="4:4">
      <c r="D277" s="805"/>
    </row>
    <row r="278" spans="4:4">
      <c r="D278" s="805"/>
    </row>
    <row r="279" spans="4:4">
      <c r="D279" s="805"/>
    </row>
    <row r="280" spans="4:4">
      <c r="D280" s="805"/>
    </row>
    <row r="281" spans="4:4">
      <c r="D281" s="805"/>
    </row>
    <row r="282" spans="4:4">
      <c r="D282" s="805"/>
    </row>
    <row r="283" spans="4:4">
      <c r="D283" s="805"/>
    </row>
    <row r="284" spans="4:4">
      <c r="D284" s="805"/>
    </row>
    <row r="285" spans="4:4">
      <c r="D285" s="805"/>
    </row>
    <row r="286" spans="4:4">
      <c r="D286" s="805"/>
    </row>
    <row r="287" spans="4:4">
      <c r="D287" s="805"/>
    </row>
    <row r="288" spans="4:4">
      <c r="D288" s="805"/>
    </row>
    <row r="289" spans="4:4">
      <c r="D289" s="805"/>
    </row>
    <row r="290" spans="4:4">
      <c r="D290" s="805"/>
    </row>
    <row r="291" spans="4:4">
      <c r="D291" s="805"/>
    </row>
    <row r="292" spans="4:4">
      <c r="D292" s="805"/>
    </row>
    <row r="293" spans="4:4">
      <c r="D293" s="805"/>
    </row>
    <row r="294" spans="4:4">
      <c r="D294" s="805"/>
    </row>
    <row r="295" spans="4:4">
      <c r="D295" s="805"/>
    </row>
    <row r="296" spans="4:4">
      <c r="D296" s="805"/>
    </row>
    <row r="297" spans="4:4">
      <c r="D297" s="805"/>
    </row>
    <row r="298" spans="4:4">
      <c r="D298" s="805"/>
    </row>
    <row r="299" spans="4:4">
      <c r="D299" s="805"/>
    </row>
    <row r="300" spans="4:4">
      <c r="D300" s="805"/>
    </row>
    <row r="301" spans="4:4">
      <c r="D301" s="805"/>
    </row>
    <row r="302" spans="4:4">
      <c r="D302" s="805"/>
    </row>
    <row r="303" spans="4:4">
      <c r="D303" s="805"/>
    </row>
    <row r="304" spans="4:4">
      <c r="D304" s="805"/>
    </row>
    <row r="305" spans="4:4">
      <c r="D305" s="805"/>
    </row>
    <row r="306" spans="4:4">
      <c r="D306" s="805"/>
    </row>
    <row r="307" spans="4:4">
      <c r="D307" s="805"/>
    </row>
    <row r="308" spans="4:4">
      <c r="D308" s="805"/>
    </row>
    <row r="309" spans="4:4">
      <c r="D309" s="805"/>
    </row>
    <row r="310" spans="4:4">
      <c r="D310" s="805"/>
    </row>
    <row r="311" spans="4:4">
      <c r="D311" s="805"/>
    </row>
    <row r="312" spans="4:4">
      <c r="D312" s="805"/>
    </row>
    <row r="313" spans="4:4">
      <c r="D313" s="805"/>
    </row>
    <row r="314" spans="4:4">
      <c r="D314" s="805"/>
    </row>
    <row r="315" spans="4:4">
      <c r="D315" s="805"/>
    </row>
    <row r="316" spans="4:4">
      <c r="D316" s="805"/>
    </row>
    <row r="317" spans="4:4">
      <c r="D317" s="805"/>
    </row>
    <row r="318" spans="4:4">
      <c r="D318" s="805"/>
    </row>
    <row r="319" spans="4:4">
      <c r="D319" s="805"/>
    </row>
    <row r="320" spans="4:4">
      <c r="D320" s="805"/>
    </row>
    <row r="321" spans="4:4">
      <c r="D321" s="805"/>
    </row>
    <row r="322" spans="4:4">
      <c r="D322" s="805"/>
    </row>
    <row r="323" spans="4:4">
      <c r="D323" s="805"/>
    </row>
    <row r="324" spans="4:4">
      <c r="D324" s="805"/>
    </row>
    <row r="325" spans="4:4">
      <c r="D325" s="805"/>
    </row>
    <row r="326" spans="4:4">
      <c r="D326" s="805"/>
    </row>
    <row r="327" spans="4:4">
      <c r="D327" s="805"/>
    </row>
    <row r="328" spans="4:4">
      <c r="D328" s="805"/>
    </row>
    <row r="329" spans="4:4">
      <c r="D329" s="805"/>
    </row>
    <row r="330" spans="4:4">
      <c r="D330" s="805"/>
    </row>
    <row r="331" spans="4:4">
      <c r="D331" s="805"/>
    </row>
    <row r="332" spans="4:4">
      <c r="D332" s="805"/>
    </row>
    <row r="333" spans="4:4">
      <c r="D333" s="805"/>
    </row>
    <row r="334" spans="4:4">
      <c r="D334" s="805"/>
    </row>
    <row r="335" spans="4:4">
      <c r="D335" s="805"/>
    </row>
    <row r="336" spans="4:4">
      <c r="D336" s="805"/>
    </row>
    <row r="337" spans="4:4">
      <c r="D337" s="805"/>
    </row>
    <row r="338" spans="4:4">
      <c r="D338" s="805"/>
    </row>
    <row r="339" spans="4:4">
      <c r="D339" s="805"/>
    </row>
    <row r="340" spans="4:4">
      <c r="D340" s="805"/>
    </row>
    <row r="341" spans="4:4">
      <c r="D341" s="805"/>
    </row>
    <row r="342" spans="4:4">
      <c r="D342" s="805"/>
    </row>
    <row r="343" spans="4:4">
      <c r="D343" s="805"/>
    </row>
    <row r="344" spans="4:4">
      <c r="D344" s="805"/>
    </row>
    <row r="345" spans="4:4">
      <c r="D345" s="805"/>
    </row>
    <row r="346" spans="4:4">
      <c r="D346" s="805"/>
    </row>
    <row r="347" spans="4:4">
      <c r="D347" s="805"/>
    </row>
    <row r="348" spans="4:4">
      <c r="D348" s="805"/>
    </row>
    <row r="349" spans="4:4">
      <c r="D349" s="805"/>
    </row>
    <row r="350" spans="4:4">
      <c r="D350" s="805"/>
    </row>
    <row r="351" spans="4:4">
      <c r="D351" s="805"/>
    </row>
    <row r="352" spans="4:4">
      <c r="D352" s="805"/>
    </row>
    <row r="353" spans="4:4">
      <c r="D353" s="805"/>
    </row>
    <row r="354" spans="4:4">
      <c r="D354" s="805"/>
    </row>
    <row r="355" spans="4:4">
      <c r="D355" s="805"/>
    </row>
    <row r="356" spans="4:4">
      <c r="D356" s="805"/>
    </row>
    <row r="357" spans="4:4">
      <c r="D357" s="805"/>
    </row>
    <row r="358" spans="4:4">
      <c r="D358" s="805"/>
    </row>
    <row r="359" spans="4:4">
      <c r="D359" s="805"/>
    </row>
    <row r="360" spans="4:4">
      <c r="D360" s="805"/>
    </row>
    <row r="361" spans="4:4">
      <c r="D361" s="805"/>
    </row>
    <row r="362" spans="4:4">
      <c r="D362" s="805"/>
    </row>
    <row r="363" spans="4:4">
      <c r="D363" s="805"/>
    </row>
    <row r="364" spans="4:4">
      <c r="D364" s="805"/>
    </row>
    <row r="365" spans="4:4">
      <c r="D365" s="805"/>
    </row>
    <row r="366" spans="4:4">
      <c r="D366" s="805"/>
    </row>
    <row r="367" spans="4:4">
      <c r="D367" s="805"/>
    </row>
    <row r="368" spans="4:4">
      <c r="D368" s="805"/>
    </row>
    <row r="369" spans="4:4">
      <c r="D369" s="805"/>
    </row>
    <row r="370" spans="4:4">
      <c r="D370" s="805"/>
    </row>
    <row r="371" spans="4:4">
      <c r="D371" s="805"/>
    </row>
    <row r="372" spans="4:4">
      <c r="D372" s="805"/>
    </row>
    <row r="373" spans="4:4">
      <c r="D373" s="805"/>
    </row>
    <row r="374" spans="4:4">
      <c r="D374" s="805"/>
    </row>
    <row r="375" spans="4:4">
      <c r="D375" s="805"/>
    </row>
    <row r="376" spans="4:4">
      <c r="D376" s="805"/>
    </row>
    <row r="377" spans="4:4">
      <c r="D377" s="805"/>
    </row>
    <row r="378" spans="4:4">
      <c r="D378" s="805"/>
    </row>
    <row r="379" spans="4:4">
      <c r="D379" s="805"/>
    </row>
    <row r="380" spans="4:4">
      <c r="D380" s="805"/>
    </row>
    <row r="381" spans="4:4">
      <c r="D381" s="805"/>
    </row>
    <row r="382" spans="4:4">
      <c r="D382" s="805"/>
    </row>
    <row r="383" spans="4:4">
      <c r="D383" s="805"/>
    </row>
    <row r="384" spans="4:4">
      <c r="D384" s="805"/>
    </row>
    <row r="385" spans="4:4">
      <c r="D385" s="805"/>
    </row>
    <row r="386" spans="4:4">
      <c r="D386" s="805"/>
    </row>
    <row r="387" spans="4:4">
      <c r="D387" s="805"/>
    </row>
    <row r="388" spans="4:4">
      <c r="D388" s="805"/>
    </row>
    <row r="389" spans="4:4">
      <c r="D389" s="805"/>
    </row>
    <row r="390" spans="4:4">
      <c r="D390" s="805"/>
    </row>
    <row r="391" spans="4:4">
      <c r="D391" s="805"/>
    </row>
    <row r="392" spans="4:4">
      <c r="D392" s="805"/>
    </row>
    <row r="393" spans="4:4">
      <c r="D393" s="805"/>
    </row>
    <row r="394" spans="4:4">
      <c r="D394" s="805"/>
    </row>
  </sheetData>
  <mergeCells count="2">
    <mergeCell ref="D46:D47"/>
    <mergeCell ref="E21:N21"/>
  </mergeCells>
  <hyperlinks>
    <hyperlink ref="E7" r:id="rId1"/>
  </hyperlinks>
  <pageMargins left="0.7" right="0.7" top="0.75" bottom="0.75" header="0.3" footer="0.3"/>
  <pageSetup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225281" r:id="rId5" name="Button 1">
              <controlPr defaultSize="0" print="0" autoFill="0" autoPict="0" macro="[0]!WobblerUpdateRows">
                <anchor moveWithCells="1" sizeWithCells="1">
                  <from>
                    <xdr:col>4</xdr:col>
                    <xdr:colOff>30480</xdr:colOff>
                    <xdr:row>45</xdr:row>
                    <xdr:rowOff>38100</xdr:rowOff>
                  </from>
                  <to>
                    <xdr:col>5</xdr:col>
                    <xdr:colOff>762000</xdr:colOff>
                    <xdr:row>46</xdr:row>
                    <xdr:rowOff>160020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2"/>
  </sheetPr>
  <dimension ref="A1:U310"/>
  <sheetViews>
    <sheetView workbookViewId="0">
      <selection activeCell="E8" sqref="E8"/>
    </sheetView>
  </sheetViews>
  <sheetFormatPr defaultColWidth="15.26953125" defaultRowHeight="12.75" customHeight="1"/>
  <cols>
    <col min="1" max="2" width="2.36328125" style="370" customWidth="1"/>
    <col min="3" max="3" width="2.7265625" style="370" customWidth="1"/>
    <col min="4" max="4" width="28.90625" style="370" customWidth="1"/>
    <col min="5" max="8" width="16.90625" style="406" bestFit="1" customWidth="1"/>
    <col min="9" max="14" width="16.90625" style="406" customWidth="1"/>
    <col min="15" max="15" width="20.453125" style="727" customWidth="1"/>
    <col min="16" max="16" width="7.453125" style="370" customWidth="1"/>
    <col min="17" max="16384" width="15.26953125" style="370"/>
  </cols>
  <sheetData>
    <row r="1" spans="1:21" s="874" customFormat="1" ht="16.2">
      <c r="A1" s="873" t="s">
        <v>2648</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2649</v>
      </c>
      <c r="P2" s="875"/>
      <c r="Q2" s="875"/>
      <c r="R2" s="875"/>
      <c r="S2" s="875"/>
      <c r="U2" s="873"/>
    </row>
    <row r="3" spans="1:21" ht="16.8">
      <c r="A3" s="372"/>
      <c r="B3" s="372"/>
      <c r="C3" s="372"/>
      <c r="D3" s="372"/>
      <c r="E3" s="373"/>
      <c r="F3" s="373"/>
      <c r="G3" s="373"/>
      <c r="H3" s="373"/>
      <c r="I3" s="373"/>
      <c r="J3" s="373"/>
      <c r="K3" s="373"/>
      <c r="L3" s="373"/>
      <c r="M3" s="373"/>
      <c r="N3" s="373"/>
      <c r="O3" s="372"/>
      <c r="P3" s="372"/>
    </row>
    <row r="4" spans="1:21" s="580" customFormat="1" ht="13.8">
      <c r="B4" s="581" t="str">
        <f>nmProd1Seg1</f>
        <v>Productivity &amp; Business Enterprise</v>
      </c>
      <c r="C4" s="581"/>
      <c r="D4" s="581"/>
      <c r="E4" s="582"/>
      <c r="F4" s="583"/>
      <c r="G4" s="583"/>
      <c r="H4" s="583"/>
      <c r="I4" s="583"/>
      <c r="J4" s="582"/>
      <c r="K4" s="583"/>
      <c r="L4" s="583"/>
      <c r="M4" s="583"/>
      <c r="N4" s="583"/>
      <c r="O4" s="676"/>
    </row>
    <row r="5" spans="1:21" ht="16.8">
      <c r="A5" s="372"/>
      <c r="B5" s="372"/>
      <c r="C5" s="372"/>
      <c r="D5" s="372"/>
      <c r="E5" s="373"/>
      <c r="F5" s="373"/>
      <c r="G5" s="373"/>
      <c r="H5" s="373"/>
      <c r="I5" s="373"/>
      <c r="J5" s="373"/>
      <c r="K5" s="373"/>
      <c r="L5" s="373"/>
      <c r="M5" s="373"/>
      <c r="N5" s="373"/>
      <c r="O5" s="372"/>
      <c r="P5" s="372"/>
    </row>
    <row r="6" spans="1:21" ht="16.8">
      <c r="A6" s="372"/>
      <c r="B6" s="372"/>
      <c r="C6" s="393" t="str">
        <f>FinDefBookingsName</f>
        <v>Bookings</v>
      </c>
      <c r="D6" s="372"/>
      <c r="E6" s="373"/>
      <c r="F6" s="373"/>
      <c r="G6" s="373"/>
      <c r="H6" s="373"/>
      <c r="I6" s="373"/>
      <c r="J6" s="373"/>
      <c r="K6" s="373"/>
      <c r="L6" s="373"/>
      <c r="M6" s="373"/>
      <c r="N6" s="373"/>
      <c r="O6" s="372"/>
      <c r="P6" s="372"/>
    </row>
    <row r="7" spans="1:21" ht="16.8">
      <c r="A7" s="372"/>
      <c r="B7" s="372"/>
      <c r="C7" s="372"/>
      <c r="D7" s="372" t="s">
        <v>889</v>
      </c>
      <c r="E7" s="632">
        <f t="shared" ref="E7:N7" si="0">CalcProd1Seg1NewVolume*CalcProd1Seg1Price</f>
        <v>32883453.900000039</v>
      </c>
      <c r="F7" s="632">
        <f t="shared" si="0"/>
        <v>32883453.900000039</v>
      </c>
      <c r="G7" s="632">
        <f t="shared" si="0"/>
        <v>32883453.900000039</v>
      </c>
      <c r="H7" s="632">
        <f t="shared" si="0"/>
        <v>32883453.900000039</v>
      </c>
      <c r="I7" s="632">
        <f t="shared" si="0"/>
        <v>32883453.900000039</v>
      </c>
      <c r="J7" s="632">
        <f t="shared" si="0"/>
        <v>32883453.900000039</v>
      </c>
      <c r="K7" s="632">
        <f t="shared" si="0"/>
        <v>32883453.900000039</v>
      </c>
      <c r="L7" s="632">
        <f t="shared" si="0"/>
        <v>32883453.900000039</v>
      </c>
      <c r="M7" s="632">
        <f t="shared" si="0"/>
        <v>32883453.900000039</v>
      </c>
      <c r="N7" s="632">
        <f t="shared" si="0"/>
        <v>32883453.900000039</v>
      </c>
      <c r="O7" s="372" t="s">
        <v>1860</v>
      </c>
      <c r="P7" s="371"/>
    </row>
    <row r="8" spans="1:21" ht="16.8">
      <c r="A8" s="372"/>
      <c r="B8" s="372"/>
      <c r="C8" s="372"/>
      <c r="D8" s="372" t="s">
        <v>888</v>
      </c>
      <c r="E8" s="632">
        <f t="shared" ref="E8:N8" si="1">CalcProd1Seg1RenewalVolume*CalcProd1Seg1Price</f>
        <v>54613897.672837876</v>
      </c>
      <c r="F8" s="632">
        <f t="shared" si="1"/>
        <v>54613897.672837876</v>
      </c>
      <c r="G8" s="632">
        <f t="shared" si="1"/>
        <v>54613897.672837876</v>
      </c>
      <c r="H8" s="632">
        <f t="shared" si="1"/>
        <v>54613897.672837876</v>
      </c>
      <c r="I8" s="632">
        <f t="shared" si="1"/>
        <v>54613897.672837876</v>
      </c>
      <c r="J8" s="632">
        <f t="shared" si="1"/>
        <v>54613897.672837876</v>
      </c>
      <c r="K8" s="632">
        <f t="shared" si="1"/>
        <v>54613897.672837876</v>
      </c>
      <c r="L8" s="632">
        <f t="shared" si="1"/>
        <v>54613897.672837876</v>
      </c>
      <c r="M8" s="632">
        <f t="shared" si="1"/>
        <v>54613897.672837876</v>
      </c>
      <c r="N8" s="632">
        <f t="shared" si="1"/>
        <v>54613897.672837876</v>
      </c>
      <c r="O8" s="372" t="s">
        <v>1861</v>
      </c>
      <c r="P8" s="371"/>
    </row>
    <row r="9" spans="1:21" s="399" customFormat="1" ht="2.1" customHeight="1">
      <c r="A9" s="402"/>
      <c r="B9" s="304"/>
      <c r="C9" s="372"/>
      <c r="D9" s="401"/>
      <c r="E9" s="633"/>
      <c r="F9" s="634"/>
      <c r="G9" s="634"/>
      <c r="H9" s="634"/>
      <c r="I9" s="635"/>
      <c r="J9" s="633"/>
      <c r="K9" s="634"/>
      <c r="L9" s="634"/>
      <c r="M9" s="634"/>
      <c r="N9" s="635"/>
      <c r="O9" s="725"/>
      <c r="P9" s="400"/>
    </row>
    <row r="10" spans="1:21" ht="16.8">
      <c r="A10" s="372"/>
      <c r="B10" s="372"/>
      <c r="C10" s="372"/>
      <c r="D10" s="372" t="s">
        <v>50</v>
      </c>
      <c r="E10" s="632">
        <f t="shared" ref="E10:N10" si="2">SUM(E7:E8)</f>
        <v>87497351.572837919</v>
      </c>
      <c r="F10" s="632">
        <f t="shared" si="2"/>
        <v>87497351.572837919</v>
      </c>
      <c r="G10" s="632">
        <f t="shared" si="2"/>
        <v>87497351.572837919</v>
      </c>
      <c r="H10" s="632">
        <f t="shared" si="2"/>
        <v>87497351.572837919</v>
      </c>
      <c r="I10" s="632">
        <f t="shared" si="2"/>
        <v>87497351.572837919</v>
      </c>
      <c r="J10" s="632">
        <f t="shared" si="2"/>
        <v>87497351.572837919</v>
      </c>
      <c r="K10" s="632">
        <f t="shared" si="2"/>
        <v>87497351.572837919</v>
      </c>
      <c r="L10" s="632">
        <f t="shared" si="2"/>
        <v>87497351.572837919</v>
      </c>
      <c r="M10" s="632">
        <f t="shared" si="2"/>
        <v>87497351.572837919</v>
      </c>
      <c r="N10" s="632">
        <f t="shared" si="2"/>
        <v>87497351.572837919</v>
      </c>
      <c r="O10" s="372" t="s">
        <v>1862</v>
      </c>
      <c r="P10" s="372"/>
    </row>
    <row r="11" spans="1:21" ht="16.8">
      <c r="A11" s="372"/>
      <c r="B11" s="372"/>
      <c r="C11" s="372"/>
      <c r="D11" s="372"/>
      <c r="E11" s="638"/>
      <c r="F11" s="638"/>
      <c r="G11" s="638"/>
      <c r="H11" s="638"/>
      <c r="I11" s="638"/>
      <c r="J11" s="638"/>
      <c r="K11" s="638"/>
      <c r="L11" s="638"/>
      <c r="M11" s="638"/>
      <c r="N11" s="638"/>
      <c r="O11" s="372"/>
      <c r="P11" s="372"/>
    </row>
    <row r="12" spans="1:21" ht="16.8">
      <c r="A12" s="372"/>
      <c r="B12" s="372"/>
      <c r="C12" s="393" t="s">
        <v>900</v>
      </c>
      <c r="D12" s="372"/>
      <c r="E12" s="638"/>
      <c r="F12" s="638"/>
      <c r="G12" s="638"/>
      <c r="H12" s="638"/>
      <c r="I12" s="638"/>
      <c r="J12" s="638"/>
      <c r="K12" s="638"/>
      <c r="L12" s="638"/>
      <c r="M12" s="638"/>
      <c r="N12" s="638"/>
      <c r="O12" s="372"/>
      <c r="P12" s="372"/>
    </row>
    <row r="13" spans="1:21" ht="16.8">
      <c r="A13" s="372"/>
      <c r="B13" s="372"/>
      <c r="C13" s="372"/>
      <c r="D13" s="372" t="s">
        <v>889</v>
      </c>
      <c r="E13" s="632">
        <f t="shared" ref="E13:N13" si="3">(E7*FinDefRecogRate)+paramChallengeProd1Seg1Revenue</f>
        <v>16441726.95000002</v>
      </c>
      <c r="F13" s="632">
        <f t="shared" si="3"/>
        <v>16441726.95000002</v>
      </c>
      <c r="G13" s="632">
        <f t="shared" si="3"/>
        <v>16441726.95000002</v>
      </c>
      <c r="H13" s="632">
        <f t="shared" si="3"/>
        <v>16441726.95000002</v>
      </c>
      <c r="I13" s="632">
        <f t="shared" si="3"/>
        <v>16441726.95000002</v>
      </c>
      <c r="J13" s="632">
        <f t="shared" si="3"/>
        <v>16441726.95000002</v>
      </c>
      <c r="K13" s="632">
        <f t="shared" si="3"/>
        <v>16441726.95000002</v>
      </c>
      <c r="L13" s="632">
        <f t="shared" si="3"/>
        <v>16441726.95000002</v>
      </c>
      <c r="M13" s="632">
        <f t="shared" si="3"/>
        <v>16441726.95000002</v>
      </c>
      <c r="N13" s="632">
        <f t="shared" si="3"/>
        <v>16441726.95000002</v>
      </c>
      <c r="O13" s="372" t="s">
        <v>1863</v>
      </c>
      <c r="P13" s="372"/>
    </row>
    <row r="14" spans="1:21" ht="16.8">
      <c r="A14" s="372"/>
      <c r="B14" s="372"/>
      <c r="C14" s="372"/>
      <c r="D14" s="372" t="s">
        <v>888</v>
      </c>
      <c r="E14" s="703">
        <f t="shared" ref="E14:N14" si="4">(E8*FinDefRecogRate)</f>
        <v>27306948.836418938</v>
      </c>
      <c r="F14" s="703">
        <f t="shared" si="4"/>
        <v>27306948.836418938</v>
      </c>
      <c r="G14" s="703">
        <f t="shared" si="4"/>
        <v>27306948.836418938</v>
      </c>
      <c r="H14" s="703">
        <f t="shared" si="4"/>
        <v>27306948.836418938</v>
      </c>
      <c r="I14" s="703">
        <f t="shared" si="4"/>
        <v>27306948.836418938</v>
      </c>
      <c r="J14" s="703">
        <f t="shared" si="4"/>
        <v>27306948.836418938</v>
      </c>
      <c r="K14" s="703">
        <f t="shared" si="4"/>
        <v>27306948.836418938</v>
      </c>
      <c r="L14" s="703">
        <f t="shared" si="4"/>
        <v>27306948.836418938</v>
      </c>
      <c r="M14" s="703">
        <f t="shared" si="4"/>
        <v>27306948.836418938</v>
      </c>
      <c r="N14" s="703">
        <f t="shared" si="4"/>
        <v>27306948.836418938</v>
      </c>
      <c r="O14" s="372" t="s">
        <v>1864</v>
      </c>
      <c r="P14" s="372"/>
    </row>
    <row r="15" spans="1:21" ht="16.8">
      <c r="A15" s="372"/>
      <c r="B15" s="372"/>
      <c r="C15" s="372"/>
      <c r="D15" s="629" t="s">
        <v>1647</v>
      </c>
      <c r="E15" s="703">
        <f t="shared" ref="E15:N15" si="5">(CalcProd1Seg1NonCloudVolume*CalcProd1Seg1Price)</f>
        <v>42636000</v>
      </c>
      <c r="F15" s="703">
        <f t="shared" si="5"/>
        <v>42636000</v>
      </c>
      <c r="G15" s="703">
        <f t="shared" si="5"/>
        <v>42636000</v>
      </c>
      <c r="H15" s="703">
        <f t="shared" si="5"/>
        <v>42636000</v>
      </c>
      <c r="I15" s="703">
        <f t="shared" si="5"/>
        <v>42636000</v>
      </c>
      <c r="J15" s="703">
        <f t="shared" si="5"/>
        <v>42636000</v>
      </c>
      <c r="K15" s="703">
        <f t="shared" si="5"/>
        <v>42636000</v>
      </c>
      <c r="L15" s="703">
        <f t="shared" si="5"/>
        <v>42636000</v>
      </c>
      <c r="M15" s="703">
        <f t="shared" si="5"/>
        <v>42636000</v>
      </c>
      <c r="N15" s="703">
        <f t="shared" si="5"/>
        <v>42636000</v>
      </c>
      <c r="O15" s="372" t="s">
        <v>1865</v>
      </c>
      <c r="P15" s="372"/>
    </row>
    <row r="16" spans="1:21" ht="16.8">
      <c r="A16" s="372"/>
      <c r="B16" s="372"/>
      <c r="C16" s="372"/>
      <c r="D16" s="629" t="s">
        <v>459</v>
      </c>
      <c r="E16" s="632">
        <f t="shared" ref="E16:N16" si="6">calcServicesProd1Seg1TotalRev</f>
        <v>7140000</v>
      </c>
      <c r="F16" s="632">
        <f t="shared" si="6"/>
        <v>7140000</v>
      </c>
      <c r="G16" s="632">
        <f t="shared" si="6"/>
        <v>7140000</v>
      </c>
      <c r="H16" s="632">
        <f t="shared" si="6"/>
        <v>7140000</v>
      </c>
      <c r="I16" s="632">
        <f t="shared" si="6"/>
        <v>7140000</v>
      </c>
      <c r="J16" s="632">
        <f t="shared" si="6"/>
        <v>7140000</v>
      </c>
      <c r="K16" s="632">
        <f t="shared" si="6"/>
        <v>7140000</v>
      </c>
      <c r="L16" s="632">
        <f t="shared" si="6"/>
        <v>7140000</v>
      </c>
      <c r="M16" s="632">
        <f t="shared" si="6"/>
        <v>7140000</v>
      </c>
      <c r="N16" s="632">
        <f t="shared" si="6"/>
        <v>7140000</v>
      </c>
      <c r="O16" s="725" t="s">
        <v>1866</v>
      </c>
      <c r="P16" s="372"/>
    </row>
    <row r="17" spans="1:16" ht="16.8">
      <c r="A17" s="372"/>
      <c r="B17" s="372"/>
      <c r="C17" s="372"/>
      <c r="D17" s="372" t="s">
        <v>899</v>
      </c>
      <c r="E17" s="632">
        <f t="shared" ref="E17:N17" si="7">obalProd1Seg1DefRev*IF(FinDefContractLength=1,0,IF(FinDefContractLength=2,1,IF(FinDefContractLength=3,0.5)))</f>
        <v>39578510.513643652</v>
      </c>
      <c r="F17" s="632">
        <f t="shared" si="7"/>
        <v>39578510.513643652</v>
      </c>
      <c r="G17" s="632">
        <f t="shared" si="7"/>
        <v>39578510.513643652</v>
      </c>
      <c r="H17" s="632">
        <f t="shared" si="7"/>
        <v>39578510.513643652</v>
      </c>
      <c r="I17" s="632">
        <f t="shared" si="7"/>
        <v>39578510.513643652</v>
      </c>
      <c r="J17" s="632">
        <f t="shared" si="7"/>
        <v>39578510.513643652</v>
      </c>
      <c r="K17" s="632">
        <f t="shared" si="7"/>
        <v>39578510.513643652</v>
      </c>
      <c r="L17" s="632">
        <f t="shared" si="7"/>
        <v>39578510.513643652</v>
      </c>
      <c r="M17" s="632">
        <f t="shared" si="7"/>
        <v>39578510.513643652</v>
      </c>
      <c r="N17" s="632">
        <f t="shared" si="7"/>
        <v>39578510.513643652</v>
      </c>
      <c r="O17" s="725" t="s">
        <v>1867</v>
      </c>
      <c r="P17" s="372"/>
    </row>
    <row r="18" spans="1:16" s="399" customFormat="1" ht="2.1" customHeight="1">
      <c r="A18" s="402"/>
      <c r="B18" s="304"/>
      <c r="C18" s="372"/>
      <c r="D18" s="401"/>
      <c r="E18" s="633"/>
      <c r="F18" s="634"/>
      <c r="G18" s="634"/>
      <c r="H18" s="634"/>
      <c r="I18" s="635"/>
      <c r="J18" s="633"/>
      <c r="K18" s="634"/>
      <c r="L18" s="634"/>
      <c r="M18" s="634"/>
      <c r="N18" s="635"/>
      <c r="O18" s="372"/>
      <c r="P18" s="400"/>
    </row>
    <row r="19" spans="1:16" ht="16.8">
      <c r="A19" s="372"/>
      <c r="B19" s="372"/>
      <c r="C19" s="372"/>
      <c r="D19" s="372" t="s">
        <v>50</v>
      </c>
      <c r="E19" s="636">
        <f t="shared" ref="E19:N19" si="8">SUM(E13:E17)</f>
        <v>133103186.30006261</v>
      </c>
      <c r="F19" s="636">
        <f t="shared" si="8"/>
        <v>133103186.30006261</v>
      </c>
      <c r="G19" s="636">
        <f t="shared" si="8"/>
        <v>133103186.30006261</v>
      </c>
      <c r="H19" s="636">
        <f t="shared" si="8"/>
        <v>133103186.30006261</v>
      </c>
      <c r="I19" s="636">
        <f t="shared" si="8"/>
        <v>133103186.30006261</v>
      </c>
      <c r="J19" s="636">
        <f t="shared" si="8"/>
        <v>133103186.30006261</v>
      </c>
      <c r="K19" s="636">
        <f t="shared" si="8"/>
        <v>133103186.30006261</v>
      </c>
      <c r="L19" s="636">
        <f t="shared" si="8"/>
        <v>133103186.30006261</v>
      </c>
      <c r="M19" s="636">
        <f t="shared" si="8"/>
        <v>133103186.30006261</v>
      </c>
      <c r="N19" s="636">
        <f t="shared" si="8"/>
        <v>133103186.30006261</v>
      </c>
      <c r="O19" s="372" t="s">
        <v>1868</v>
      </c>
      <c r="P19" s="372"/>
    </row>
    <row r="20" spans="1:16" ht="16.8">
      <c r="A20" s="372"/>
      <c r="B20" s="372"/>
      <c r="C20" s="372"/>
      <c r="D20" s="372"/>
      <c r="E20" s="638"/>
      <c r="F20" s="408"/>
      <c r="G20" s="638"/>
      <c r="H20" s="638"/>
      <c r="I20" s="638"/>
      <c r="J20" s="638"/>
      <c r="K20" s="638"/>
      <c r="L20" s="638"/>
      <c r="M20" s="638"/>
      <c r="N20" s="638"/>
      <c r="O20" s="372"/>
      <c r="P20" s="372"/>
    </row>
    <row r="21" spans="1:16" ht="16.8">
      <c r="A21" s="372"/>
      <c r="B21" s="372"/>
      <c r="C21" s="393" t="s">
        <v>898</v>
      </c>
      <c r="D21" s="372"/>
      <c r="E21" s="638"/>
      <c r="F21" s="638"/>
      <c r="G21" s="638"/>
      <c r="H21" s="638"/>
      <c r="I21" s="638"/>
      <c r="J21" s="638"/>
      <c r="K21" s="638"/>
      <c r="L21" s="638"/>
      <c r="M21" s="638"/>
      <c r="N21" s="638"/>
      <c r="O21" s="372"/>
      <c r="P21" s="372"/>
    </row>
    <row r="22" spans="1:16" ht="16.8">
      <c r="A22" s="372"/>
      <c r="B22" s="372"/>
      <c r="C22" s="372"/>
      <c r="D22" s="372" t="s">
        <v>889</v>
      </c>
      <c r="E22" s="636">
        <f t="shared" ref="E22:N22" si="9">CalcProd1Seg1NewCOGS+paramChallengeProd1Seg1COGS</f>
        <v>6786816.6909856098</v>
      </c>
      <c r="F22" s="636">
        <f t="shared" si="9"/>
        <v>6786816.6909856098</v>
      </c>
      <c r="G22" s="636">
        <f t="shared" si="9"/>
        <v>6786816.6909856098</v>
      </c>
      <c r="H22" s="636">
        <f t="shared" si="9"/>
        <v>6786816.6909856098</v>
      </c>
      <c r="I22" s="636">
        <f t="shared" si="9"/>
        <v>6786816.6909856098</v>
      </c>
      <c r="J22" s="636">
        <f t="shared" si="9"/>
        <v>6786816.6909856098</v>
      </c>
      <c r="K22" s="636">
        <f t="shared" si="9"/>
        <v>6786816.6909856098</v>
      </c>
      <c r="L22" s="636">
        <f t="shared" si="9"/>
        <v>6786816.6909856098</v>
      </c>
      <c r="M22" s="636">
        <f t="shared" si="9"/>
        <v>6786816.6909856098</v>
      </c>
      <c r="N22" s="636">
        <f t="shared" si="9"/>
        <v>6786816.6909856098</v>
      </c>
      <c r="O22" s="372" t="s">
        <v>1869</v>
      </c>
      <c r="P22" s="371"/>
    </row>
    <row r="23" spans="1:16" ht="16.8">
      <c r="A23" s="372"/>
      <c r="B23" s="372"/>
      <c r="C23" s="372"/>
      <c r="D23" s="372" t="s">
        <v>888</v>
      </c>
      <c r="E23" s="636">
        <f t="shared" ref="E23:N23" si="10">CalcProd1Seg1RenewalCOGS</f>
        <v>9853767.1724441331</v>
      </c>
      <c r="F23" s="636">
        <f t="shared" si="10"/>
        <v>9853767.1724441331</v>
      </c>
      <c r="G23" s="636">
        <f t="shared" si="10"/>
        <v>9853767.1724441331</v>
      </c>
      <c r="H23" s="636">
        <f t="shared" si="10"/>
        <v>9853767.1724441331</v>
      </c>
      <c r="I23" s="636">
        <f t="shared" si="10"/>
        <v>9853767.1724441331</v>
      </c>
      <c r="J23" s="636">
        <f t="shared" si="10"/>
        <v>9853767.1724441331</v>
      </c>
      <c r="K23" s="636">
        <f t="shared" si="10"/>
        <v>9853767.1724441331</v>
      </c>
      <c r="L23" s="636">
        <f t="shared" si="10"/>
        <v>9853767.1724441331</v>
      </c>
      <c r="M23" s="636">
        <f t="shared" si="10"/>
        <v>9853767.1724441331</v>
      </c>
      <c r="N23" s="636">
        <f t="shared" si="10"/>
        <v>9853767.1724441331</v>
      </c>
      <c r="O23" s="372" t="s">
        <v>1870</v>
      </c>
      <c r="P23" s="371"/>
    </row>
    <row r="24" spans="1:16" ht="16.8">
      <c r="A24" s="372"/>
      <c r="B24" s="372"/>
      <c r="C24" s="372"/>
      <c r="D24" s="629" t="s">
        <v>1647</v>
      </c>
      <c r="E24" s="636">
        <f t="shared" ref="E24:N24" si="11">CalcProd1Seg1NonCloudCOGS</f>
        <v>3837239.9999999995</v>
      </c>
      <c r="F24" s="636">
        <f t="shared" si="11"/>
        <v>3837239.9999999995</v>
      </c>
      <c r="G24" s="636">
        <f t="shared" si="11"/>
        <v>3837239.9999999995</v>
      </c>
      <c r="H24" s="636">
        <f t="shared" si="11"/>
        <v>3837239.9999999995</v>
      </c>
      <c r="I24" s="636">
        <f t="shared" si="11"/>
        <v>3837239.9999999995</v>
      </c>
      <c r="J24" s="636">
        <f t="shared" si="11"/>
        <v>3837239.9999999995</v>
      </c>
      <c r="K24" s="636">
        <f t="shared" si="11"/>
        <v>3837239.9999999995</v>
      </c>
      <c r="L24" s="636">
        <f t="shared" si="11"/>
        <v>3837239.9999999995</v>
      </c>
      <c r="M24" s="636">
        <f t="shared" si="11"/>
        <v>3837239.9999999995</v>
      </c>
      <c r="N24" s="636">
        <f t="shared" si="11"/>
        <v>3837239.9999999995</v>
      </c>
      <c r="O24" s="629" t="s">
        <v>1871</v>
      </c>
      <c r="P24" s="372"/>
    </row>
    <row r="25" spans="1:16" ht="16.8">
      <c r="A25" s="372"/>
      <c r="B25" s="372"/>
      <c r="C25" s="372"/>
      <c r="D25" s="629" t="s">
        <v>459</v>
      </c>
      <c r="E25" s="632">
        <f t="shared" ref="E25:N25" si="12">calcServicesProd1Seg1TotalCOGS</f>
        <v>2142000</v>
      </c>
      <c r="F25" s="632">
        <f t="shared" si="12"/>
        <v>2142000</v>
      </c>
      <c r="G25" s="632">
        <f t="shared" si="12"/>
        <v>2142000</v>
      </c>
      <c r="H25" s="632">
        <f t="shared" si="12"/>
        <v>2142000</v>
      </c>
      <c r="I25" s="632">
        <f t="shared" si="12"/>
        <v>2142000</v>
      </c>
      <c r="J25" s="632">
        <f t="shared" si="12"/>
        <v>2142000</v>
      </c>
      <c r="K25" s="632">
        <f t="shared" si="12"/>
        <v>2142000</v>
      </c>
      <c r="L25" s="632">
        <f t="shared" si="12"/>
        <v>2142000</v>
      </c>
      <c r="M25" s="632">
        <f t="shared" si="12"/>
        <v>2142000</v>
      </c>
      <c r="N25" s="632">
        <f t="shared" si="12"/>
        <v>2142000</v>
      </c>
      <c r="O25" s="725" t="s">
        <v>1872</v>
      </c>
      <c r="P25" s="372"/>
    </row>
    <row r="26" spans="1:16" s="399" customFormat="1" ht="2.1" customHeight="1">
      <c r="A26" s="402"/>
      <c r="B26" s="304"/>
      <c r="C26" s="372"/>
      <c r="D26" s="401"/>
      <c r="E26" s="633"/>
      <c r="F26" s="634"/>
      <c r="G26" s="634"/>
      <c r="H26" s="634"/>
      <c r="I26" s="635"/>
      <c r="J26" s="633"/>
      <c r="K26" s="634"/>
      <c r="L26" s="634"/>
      <c r="M26" s="634"/>
      <c r="N26" s="635"/>
      <c r="O26" s="372"/>
      <c r="P26" s="400"/>
    </row>
    <row r="27" spans="1:16" ht="16.8">
      <c r="A27" s="372"/>
      <c r="B27" s="372"/>
      <c r="C27" s="372"/>
      <c r="D27" s="372" t="s">
        <v>50</v>
      </c>
      <c r="E27" s="636">
        <f t="shared" ref="E27:N27" si="13">SUM(E22:E26)</f>
        <v>22619823.863429744</v>
      </c>
      <c r="F27" s="636">
        <f t="shared" si="13"/>
        <v>22619823.863429744</v>
      </c>
      <c r="G27" s="636">
        <f t="shared" si="13"/>
        <v>22619823.863429744</v>
      </c>
      <c r="H27" s="636">
        <f t="shared" si="13"/>
        <v>22619823.863429744</v>
      </c>
      <c r="I27" s="636">
        <f t="shared" si="13"/>
        <v>22619823.863429744</v>
      </c>
      <c r="J27" s="636">
        <f t="shared" si="13"/>
        <v>22619823.863429744</v>
      </c>
      <c r="K27" s="636">
        <f t="shared" si="13"/>
        <v>22619823.863429744</v>
      </c>
      <c r="L27" s="636">
        <f t="shared" si="13"/>
        <v>22619823.863429744</v>
      </c>
      <c r="M27" s="636">
        <f t="shared" si="13"/>
        <v>22619823.863429744</v>
      </c>
      <c r="N27" s="636">
        <f t="shared" si="13"/>
        <v>22619823.863429744</v>
      </c>
      <c r="O27" s="372" t="s">
        <v>1873</v>
      </c>
      <c r="P27" s="372"/>
    </row>
    <row r="28" spans="1:16" ht="16.8">
      <c r="A28" s="372"/>
      <c r="B28" s="372"/>
      <c r="C28" s="372"/>
      <c r="D28" s="372"/>
      <c r="E28" s="638"/>
      <c r="F28" s="638"/>
      <c r="G28" s="638"/>
      <c r="H28" s="638"/>
      <c r="I28" s="638"/>
      <c r="J28" s="638"/>
      <c r="K28" s="638"/>
      <c r="L28" s="638"/>
      <c r="M28" s="638"/>
      <c r="N28" s="638"/>
      <c r="O28" s="372"/>
      <c r="P28" s="372"/>
    </row>
    <row r="29" spans="1:16" ht="16.8">
      <c r="A29" s="372"/>
      <c r="B29" s="372"/>
      <c r="C29" s="393" t="s">
        <v>206</v>
      </c>
      <c r="D29" s="372"/>
      <c r="E29" s="638"/>
      <c r="F29" s="638"/>
      <c r="G29" s="638"/>
      <c r="H29" s="638"/>
      <c r="I29" s="638"/>
      <c r="J29" s="638"/>
      <c r="K29" s="638"/>
      <c r="L29" s="638"/>
      <c r="M29" s="638"/>
      <c r="N29" s="638"/>
      <c r="O29" s="372"/>
      <c r="P29" s="372"/>
    </row>
    <row r="30" spans="1:16" ht="16.8">
      <c r="A30" s="372"/>
      <c r="B30" s="372"/>
      <c r="C30" s="372"/>
      <c r="D30" s="372" t="s">
        <v>206</v>
      </c>
      <c r="E30" s="636">
        <f t="shared" ref="E30:N30" si="14">finPNLProd1Seg1TotalRev-finPNLProd1Seg1TotalCOGs</f>
        <v>110483362.43663287</v>
      </c>
      <c r="F30" s="636">
        <f t="shared" si="14"/>
        <v>110483362.43663287</v>
      </c>
      <c r="G30" s="636">
        <f t="shared" si="14"/>
        <v>110483362.43663287</v>
      </c>
      <c r="H30" s="636">
        <f t="shared" si="14"/>
        <v>110483362.43663287</v>
      </c>
      <c r="I30" s="636">
        <f t="shared" si="14"/>
        <v>110483362.43663287</v>
      </c>
      <c r="J30" s="636">
        <f t="shared" si="14"/>
        <v>110483362.43663287</v>
      </c>
      <c r="K30" s="636">
        <f t="shared" si="14"/>
        <v>110483362.43663287</v>
      </c>
      <c r="L30" s="636">
        <f t="shared" si="14"/>
        <v>110483362.43663287</v>
      </c>
      <c r="M30" s="636">
        <f t="shared" si="14"/>
        <v>110483362.43663287</v>
      </c>
      <c r="N30" s="636">
        <f t="shared" si="14"/>
        <v>110483362.43663287</v>
      </c>
      <c r="O30" s="372" t="s">
        <v>1874</v>
      </c>
      <c r="P30" s="371"/>
    </row>
    <row r="31" spans="1:16" ht="16.8">
      <c r="A31" s="372"/>
      <c r="B31" s="372"/>
      <c r="C31" s="393"/>
      <c r="D31" s="409" t="s">
        <v>208</v>
      </c>
      <c r="E31" s="407">
        <f t="shared" ref="E31:N31" si="15">E30/finPNLProd1Seg1TotalRev</f>
        <v>0.83005798364258165</v>
      </c>
      <c r="F31" s="407">
        <f t="shared" si="15"/>
        <v>0.83005798364258165</v>
      </c>
      <c r="G31" s="407">
        <f t="shared" si="15"/>
        <v>0.83005798364258165</v>
      </c>
      <c r="H31" s="407">
        <f t="shared" si="15"/>
        <v>0.83005798364258165</v>
      </c>
      <c r="I31" s="407">
        <f t="shared" si="15"/>
        <v>0.83005798364258165</v>
      </c>
      <c r="J31" s="407">
        <f t="shared" si="15"/>
        <v>0.83005798364258165</v>
      </c>
      <c r="K31" s="407">
        <f t="shared" si="15"/>
        <v>0.83005798364258165</v>
      </c>
      <c r="L31" s="407">
        <f t="shared" si="15"/>
        <v>0.83005798364258165</v>
      </c>
      <c r="M31" s="407">
        <f t="shared" si="15"/>
        <v>0.83005798364258165</v>
      </c>
      <c r="N31" s="407">
        <f t="shared" si="15"/>
        <v>0.83005798364258165</v>
      </c>
      <c r="O31" s="372" t="s">
        <v>1875</v>
      </c>
      <c r="P31" s="372"/>
    </row>
    <row r="32" spans="1:16" ht="16.8">
      <c r="A32" s="372"/>
      <c r="B32" s="372"/>
      <c r="C32" s="372"/>
      <c r="D32" s="372"/>
      <c r="E32" s="408"/>
      <c r="F32" s="373"/>
      <c r="G32" s="373"/>
      <c r="H32" s="373"/>
      <c r="I32" s="373"/>
      <c r="J32" s="408"/>
      <c r="K32" s="373"/>
      <c r="L32" s="373"/>
      <c r="M32" s="373"/>
      <c r="N32" s="373"/>
      <c r="O32" s="372"/>
      <c r="P32" s="372"/>
    </row>
    <row r="33" spans="1:16" s="580" customFormat="1" ht="13.8">
      <c r="B33" s="581" t="str">
        <f>nmProd1Seg2</f>
        <v>Productivity &amp; Business SMC</v>
      </c>
      <c r="C33" s="581"/>
      <c r="D33" s="581"/>
      <c r="E33" s="582"/>
      <c r="F33" s="583"/>
      <c r="G33" s="583"/>
      <c r="H33" s="583"/>
      <c r="I33" s="583"/>
      <c r="J33" s="582"/>
      <c r="K33" s="583"/>
      <c r="L33" s="583"/>
      <c r="M33" s="583"/>
      <c r="N33" s="583"/>
      <c r="O33" s="676"/>
    </row>
    <row r="34" spans="1:16" ht="16.8">
      <c r="A34" s="372"/>
      <c r="B34" s="372"/>
      <c r="C34" s="372"/>
      <c r="D34" s="372"/>
      <c r="E34" s="373"/>
      <c r="F34" s="373"/>
      <c r="G34" s="373"/>
      <c r="H34" s="373"/>
      <c r="I34" s="373"/>
      <c r="J34" s="373"/>
      <c r="K34" s="373"/>
      <c r="L34" s="373"/>
      <c r="M34" s="373"/>
      <c r="N34" s="373"/>
      <c r="O34" s="372"/>
      <c r="P34" s="372"/>
    </row>
    <row r="35" spans="1:16" ht="16.8">
      <c r="A35" s="372"/>
      <c r="B35" s="372"/>
      <c r="C35" s="393" t="str">
        <f>FinDefBookingsName</f>
        <v>Bookings</v>
      </c>
      <c r="D35" s="372"/>
      <c r="E35" s="373"/>
      <c r="F35" s="373"/>
      <c r="G35" s="373"/>
      <c r="H35" s="373"/>
      <c r="I35" s="373"/>
      <c r="J35" s="373"/>
      <c r="K35" s="373"/>
      <c r="L35" s="373"/>
      <c r="M35" s="373"/>
      <c r="N35" s="373"/>
      <c r="O35" s="372"/>
      <c r="P35" s="372"/>
    </row>
    <row r="36" spans="1:16" ht="16.8">
      <c r="A36" s="372"/>
      <c r="B36" s="372"/>
      <c r="C36" s="372"/>
      <c r="D36" s="372" t="s">
        <v>889</v>
      </c>
      <c r="E36" s="632">
        <f t="shared" ref="E36:N36" si="16">CalcProd1Seg2NewVolume*CalcProd1Seg2Price</f>
        <v>22843710.450000003</v>
      </c>
      <c r="F36" s="632">
        <f t="shared" si="16"/>
        <v>22843710.450000003</v>
      </c>
      <c r="G36" s="632">
        <f t="shared" si="16"/>
        <v>22843710.450000003</v>
      </c>
      <c r="H36" s="632">
        <f t="shared" si="16"/>
        <v>22843710.450000003</v>
      </c>
      <c r="I36" s="632">
        <f t="shared" si="16"/>
        <v>22843710.450000003</v>
      </c>
      <c r="J36" s="632">
        <f t="shared" si="16"/>
        <v>22843710.450000003</v>
      </c>
      <c r="K36" s="632">
        <f t="shared" si="16"/>
        <v>22843710.450000003</v>
      </c>
      <c r="L36" s="632">
        <f t="shared" si="16"/>
        <v>22843710.450000003</v>
      </c>
      <c r="M36" s="632">
        <f t="shared" si="16"/>
        <v>22843710.450000003</v>
      </c>
      <c r="N36" s="632">
        <f t="shared" si="16"/>
        <v>22843710.450000003</v>
      </c>
      <c r="O36" s="372" t="s">
        <v>1876</v>
      </c>
      <c r="P36" s="371"/>
    </row>
    <row r="37" spans="1:16" ht="16.8">
      <c r="A37" s="372"/>
      <c r="B37" s="372"/>
      <c r="C37" s="372"/>
      <c r="D37" s="372" t="s">
        <v>888</v>
      </c>
      <c r="E37" s="632">
        <f t="shared" ref="E37:N37" si="17">CalcProd1Seg2RenewalVolume*CalcProd1Seg2Price</f>
        <v>33199867.680822916</v>
      </c>
      <c r="F37" s="632">
        <f t="shared" si="17"/>
        <v>33199867.680822916</v>
      </c>
      <c r="G37" s="632">
        <f t="shared" si="17"/>
        <v>33199867.680822916</v>
      </c>
      <c r="H37" s="632">
        <f t="shared" si="17"/>
        <v>33199867.680822916</v>
      </c>
      <c r="I37" s="632">
        <f t="shared" si="17"/>
        <v>33199867.680822916</v>
      </c>
      <c r="J37" s="632">
        <f t="shared" si="17"/>
        <v>33199867.680822916</v>
      </c>
      <c r="K37" s="632">
        <f t="shared" si="17"/>
        <v>33199867.680822916</v>
      </c>
      <c r="L37" s="632">
        <f t="shared" si="17"/>
        <v>33199867.680822916</v>
      </c>
      <c r="M37" s="632">
        <f t="shared" si="17"/>
        <v>33199867.680822916</v>
      </c>
      <c r="N37" s="632">
        <f t="shared" si="17"/>
        <v>33199867.680822916</v>
      </c>
      <c r="O37" s="372" t="s">
        <v>1877</v>
      </c>
      <c r="P37" s="371"/>
    </row>
    <row r="38" spans="1:16" s="399" customFormat="1" ht="2.1" customHeight="1">
      <c r="A38" s="402"/>
      <c r="B38" s="304"/>
      <c r="C38" s="372"/>
      <c r="D38" s="401"/>
      <c r="E38" s="633"/>
      <c r="F38" s="634"/>
      <c r="G38" s="634"/>
      <c r="H38" s="634"/>
      <c r="I38" s="635"/>
      <c r="J38" s="633"/>
      <c r="K38" s="634"/>
      <c r="L38" s="634"/>
      <c r="M38" s="634"/>
      <c r="N38" s="635"/>
      <c r="O38" s="725"/>
      <c r="P38" s="400"/>
    </row>
    <row r="39" spans="1:16" ht="16.8">
      <c r="A39" s="372"/>
      <c r="B39" s="372"/>
      <c r="C39" s="372"/>
      <c r="D39" s="372" t="s">
        <v>50</v>
      </c>
      <c r="E39" s="632">
        <f t="shared" ref="E39:N39" si="18">SUM(E36:E37)</f>
        <v>56043578.130822919</v>
      </c>
      <c r="F39" s="632">
        <f t="shared" si="18"/>
        <v>56043578.130822919</v>
      </c>
      <c r="G39" s="632">
        <f t="shared" si="18"/>
        <v>56043578.130822919</v>
      </c>
      <c r="H39" s="632">
        <f t="shared" si="18"/>
        <v>56043578.130822919</v>
      </c>
      <c r="I39" s="632">
        <f t="shared" si="18"/>
        <v>56043578.130822919</v>
      </c>
      <c r="J39" s="632">
        <f t="shared" si="18"/>
        <v>56043578.130822919</v>
      </c>
      <c r="K39" s="632">
        <f t="shared" si="18"/>
        <v>56043578.130822919</v>
      </c>
      <c r="L39" s="632">
        <f t="shared" si="18"/>
        <v>56043578.130822919</v>
      </c>
      <c r="M39" s="632">
        <f t="shared" si="18"/>
        <v>56043578.130822919</v>
      </c>
      <c r="N39" s="632">
        <f t="shared" si="18"/>
        <v>56043578.130822919</v>
      </c>
      <c r="O39" s="372" t="s">
        <v>1878</v>
      </c>
      <c r="P39" s="372"/>
    </row>
    <row r="40" spans="1:16" ht="16.8">
      <c r="A40" s="372"/>
      <c r="B40" s="372"/>
      <c r="C40" s="372"/>
      <c r="D40" s="372"/>
      <c r="E40" s="638"/>
      <c r="F40" s="638"/>
      <c r="G40" s="638"/>
      <c r="H40" s="638"/>
      <c r="I40" s="638"/>
      <c r="J40" s="638"/>
      <c r="K40" s="638"/>
      <c r="L40" s="638"/>
      <c r="M40" s="638"/>
      <c r="N40" s="638"/>
      <c r="O40" s="372"/>
      <c r="P40" s="372"/>
    </row>
    <row r="41" spans="1:16" ht="16.8">
      <c r="A41" s="372"/>
      <c r="B41" s="372"/>
      <c r="C41" s="393" t="s">
        <v>900</v>
      </c>
      <c r="D41" s="372"/>
      <c r="E41" s="638"/>
      <c r="F41" s="638"/>
      <c r="G41" s="638"/>
      <c r="H41" s="638"/>
      <c r="I41" s="638"/>
      <c r="J41" s="638"/>
      <c r="K41" s="638"/>
      <c r="L41" s="638"/>
      <c r="M41" s="638"/>
      <c r="N41" s="638"/>
      <c r="O41" s="372"/>
      <c r="P41" s="372"/>
    </row>
    <row r="42" spans="1:16" ht="16.8">
      <c r="A42" s="372"/>
      <c r="B42" s="372"/>
      <c r="C42" s="372"/>
      <c r="D42" s="372" t="s">
        <v>889</v>
      </c>
      <c r="E42" s="632">
        <f t="shared" ref="E42:N42" si="19">E36*FinDefRecogRate</f>
        <v>11421855.225000001</v>
      </c>
      <c r="F42" s="632">
        <f t="shared" si="19"/>
        <v>11421855.225000001</v>
      </c>
      <c r="G42" s="632">
        <f t="shared" si="19"/>
        <v>11421855.225000001</v>
      </c>
      <c r="H42" s="632">
        <f t="shared" si="19"/>
        <v>11421855.225000001</v>
      </c>
      <c r="I42" s="632">
        <f t="shared" si="19"/>
        <v>11421855.225000001</v>
      </c>
      <c r="J42" s="632">
        <f t="shared" si="19"/>
        <v>11421855.225000001</v>
      </c>
      <c r="K42" s="632">
        <f t="shared" si="19"/>
        <v>11421855.225000001</v>
      </c>
      <c r="L42" s="632">
        <f t="shared" si="19"/>
        <v>11421855.225000001</v>
      </c>
      <c r="M42" s="632">
        <f t="shared" si="19"/>
        <v>11421855.225000001</v>
      </c>
      <c r="N42" s="632">
        <f t="shared" si="19"/>
        <v>11421855.225000001</v>
      </c>
      <c r="O42" s="372" t="s">
        <v>1879</v>
      </c>
      <c r="P42" s="372"/>
    </row>
    <row r="43" spans="1:16" ht="16.8">
      <c r="A43" s="372"/>
      <c r="B43" s="372"/>
      <c r="C43" s="372"/>
      <c r="D43" s="372" t="s">
        <v>888</v>
      </c>
      <c r="E43" s="703">
        <f t="shared" ref="E43:N43" si="20">(E37*FinDefRecogRate)</f>
        <v>16599933.840411458</v>
      </c>
      <c r="F43" s="703">
        <f t="shared" si="20"/>
        <v>16599933.840411458</v>
      </c>
      <c r="G43" s="703">
        <f t="shared" si="20"/>
        <v>16599933.840411458</v>
      </c>
      <c r="H43" s="703">
        <f t="shared" si="20"/>
        <v>16599933.840411458</v>
      </c>
      <c r="I43" s="703">
        <f t="shared" si="20"/>
        <v>16599933.840411458</v>
      </c>
      <c r="J43" s="703">
        <f t="shared" si="20"/>
        <v>16599933.840411458</v>
      </c>
      <c r="K43" s="703">
        <f t="shared" si="20"/>
        <v>16599933.840411458</v>
      </c>
      <c r="L43" s="703">
        <f t="shared" si="20"/>
        <v>16599933.840411458</v>
      </c>
      <c r="M43" s="703">
        <f t="shared" si="20"/>
        <v>16599933.840411458</v>
      </c>
      <c r="N43" s="703">
        <f t="shared" si="20"/>
        <v>16599933.840411458</v>
      </c>
      <c r="O43" s="372" t="s">
        <v>1880</v>
      </c>
      <c r="P43" s="372"/>
    </row>
    <row r="44" spans="1:16" ht="16.8">
      <c r="A44" s="372"/>
      <c r="B44" s="372"/>
      <c r="C44" s="372"/>
      <c r="D44" s="629" t="s">
        <v>1647</v>
      </c>
      <c r="E44" s="703">
        <f t="shared" ref="E44:N44" si="21">(CalcProd1Seg2NonCloudVolume*CalcProd1Seg2Price)</f>
        <v>26647500.000000004</v>
      </c>
      <c r="F44" s="703">
        <f t="shared" si="21"/>
        <v>26647500.000000004</v>
      </c>
      <c r="G44" s="703">
        <f t="shared" si="21"/>
        <v>26647500.000000004</v>
      </c>
      <c r="H44" s="703">
        <f t="shared" si="21"/>
        <v>26647500.000000004</v>
      </c>
      <c r="I44" s="703">
        <f t="shared" si="21"/>
        <v>26647500.000000004</v>
      </c>
      <c r="J44" s="703">
        <f t="shared" si="21"/>
        <v>26647500.000000004</v>
      </c>
      <c r="K44" s="703">
        <f t="shared" si="21"/>
        <v>26647500.000000004</v>
      </c>
      <c r="L44" s="703">
        <f t="shared" si="21"/>
        <v>26647500.000000004</v>
      </c>
      <c r="M44" s="703">
        <f t="shared" si="21"/>
        <v>26647500.000000004</v>
      </c>
      <c r="N44" s="703">
        <f t="shared" si="21"/>
        <v>26647500.000000004</v>
      </c>
      <c r="O44" s="372" t="s">
        <v>1881</v>
      </c>
      <c r="P44" s="372"/>
    </row>
    <row r="45" spans="1:16" ht="16.8">
      <c r="A45" s="372"/>
      <c r="B45" s="372"/>
      <c r="C45" s="372"/>
      <c r="D45" s="629" t="s">
        <v>459</v>
      </c>
      <c r="E45" s="632">
        <f t="shared" ref="E45:N45" si="22">calcServicesProd1Seg2TotalRev</f>
        <v>23745000</v>
      </c>
      <c r="F45" s="632">
        <f t="shared" si="22"/>
        <v>23745000</v>
      </c>
      <c r="G45" s="632">
        <f t="shared" si="22"/>
        <v>23745000</v>
      </c>
      <c r="H45" s="632">
        <f t="shared" si="22"/>
        <v>23745000</v>
      </c>
      <c r="I45" s="632">
        <f t="shared" si="22"/>
        <v>23745000</v>
      </c>
      <c r="J45" s="632">
        <f t="shared" si="22"/>
        <v>23745000</v>
      </c>
      <c r="K45" s="632">
        <f t="shared" si="22"/>
        <v>23745000</v>
      </c>
      <c r="L45" s="632">
        <f t="shared" si="22"/>
        <v>23745000</v>
      </c>
      <c r="M45" s="632">
        <f t="shared" si="22"/>
        <v>23745000</v>
      </c>
      <c r="N45" s="632">
        <f t="shared" si="22"/>
        <v>23745000</v>
      </c>
      <c r="O45" s="725" t="s">
        <v>1882</v>
      </c>
      <c r="P45" s="372"/>
    </row>
    <row r="46" spans="1:16" ht="16.8">
      <c r="A46" s="372"/>
      <c r="B46" s="372"/>
      <c r="C46" s="372"/>
      <c r="D46" s="372" t="s">
        <v>899</v>
      </c>
      <c r="E46" s="632">
        <f t="shared" ref="E46:N46" si="23">obalProd1Seg2DefRev*IF(FinDefContractLength=1,0,IF(FinDefContractLength=2,1,IF(FinDefContractLength=3,0.5)))</f>
        <v>24059833.99918633</v>
      </c>
      <c r="F46" s="632">
        <f t="shared" si="23"/>
        <v>24059833.99918633</v>
      </c>
      <c r="G46" s="632">
        <f t="shared" si="23"/>
        <v>24059833.99918633</v>
      </c>
      <c r="H46" s="632">
        <f t="shared" si="23"/>
        <v>24059833.99918633</v>
      </c>
      <c r="I46" s="632">
        <f t="shared" si="23"/>
        <v>24059833.99918633</v>
      </c>
      <c r="J46" s="632">
        <f t="shared" si="23"/>
        <v>24059833.99918633</v>
      </c>
      <c r="K46" s="632">
        <f t="shared" si="23"/>
        <v>24059833.99918633</v>
      </c>
      <c r="L46" s="632">
        <f t="shared" si="23"/>
        <v>24059833.99918633</v>
      </c>
      <c r="M46" s="632">
        <f t="shared" si="23"/>
        <v>24059833.99918633</v>
      </c>
      <c r="N46" s="632">
        <f t="shared" si="23"/>
        <v>24059833.99918633</v>
      </c>
      <c r="O46" s="725" t="s">
        <v>1883</v>
      </c>
      <c r="P46" s="372"/>
    </row>
    <row r="47" spans="1:16" s="399" customFormat="1" ht="2.1" customHeight="1">
      <c r="A47" s="402"/>
      <c r="B47" s="304"/>
      <c r="C47" s="372"/>
      <c r="D47" s="401"/>
      <c r="E47" s="633"/>
      <c r="F47" s="634"/>
      <c r="G47" s="634"/>
      <c r="H47" s="634"/>
      <c r="I47" s="635"/>
      <c r="J47" s="633"/>
      <c r="K47" s="634"/>
      <c r="L47" s="634"/>
      <c r="M47" s="634"/>
      <c r="N47" s="635"/>
      <c r="O47" s="372"/>
      <c r="P47" s="400"/>
    </row>
    <row r="48" spans="1:16" ht="16.8">
      <c r="A48" s="372"/>
      <c r="B48" s="372"/>
      <c r="C48" s="372"/>
      <c r="D48" s="372" t="s">
        <v>50</v>
      </c>
      <c r="E48" s="636">
        <f t="shared" ref="E48:N48" si="24">SUM(E42:E46)</f>
        <v>102474123.06459779</v>
      </c>
      <c r="F48" s="636">
        <f t="shared" si="24"/>
        <v>102474123.06459779</v>
      </c>
      <c r="G48" s="636">
        <f t="shared" si="24"/>
        <v>102474123.06459779</v>
      </c>
      <c r="H48" s="636">
        <f t="shared" si="24"/>
        <v>102474123.06459779</v>
      </c>
      <c r="I48" s="636">
        <f t="shared" si="24"/>
        <v>102474123.06459779</v>
      </c>
      <c r="J48" s="636">
        <f t="shared" si="24"/>
        <v>102474123.06459779</v>
      </c>
      <c r="K48" s="636">
        <f t="shared" si="24"/>
        <v>102474123.06459779</v>
      </c>
      <c r="L48" s="636">
        <f t="shared" si="24"/>
        <v>102474123.06459779</v>
      </c>
      <c r="M48" s="636">
        <f t="shared" si="24"/>
        <v>102474123.06459779</v>
      </c>
      <c r="N48" s="636">
        <f t="shared" si="24"/>
        <v>102474123.06459779</v>
      </c>
      <c r="O48" s="372" t="s">
        <v>1884</v>
      </c>
      <c r="P48" s="372"/>
    </row>
    <row r="49" spans="1:16" ht="16.8">
      <c r="A49" s="372"/>
      <c r="B49" s="372"/>
      <c r="C49" s="372"/>
      <c r="D49" s="372"/>
      <c r="E49" s="638"/>
      <c r="F49" s="638"/>
      <c r="G49" s="638"/>
      <c r="H49" s="638"/>
      <c r="I49" s="638"/>
      <c r="J49" s="638"/>
      <c r="K49" s="638"/>
      <c r="L49" s="638"/>
      <c r="M49" s="638"/>
      <c r="N49" s="638"/>
      <c r="O49" s="372"/>
      <c r="P49" s="372"/>
    </row>
    <row r="50" spans="1:16" ht="16.8">
      <c r="A50" s="372"/>
      <c r="B50" s="372"/>
      <c r="C50" s="393" t="s">
        <v>898</v>
      </c>
      <c r="D50" s="372"/>
      <c r="E50" s="638"/>
      <c r="F50" s="638"/>
      <c r="G50" s="638"/>
      <c r="H50" s="638"/>
      <c r="I50" s="638"/>
      <c r="J50" s="638"/>
      <c r="K50" s="638"/>
      <c r="L50" s="638"/>
      <c r="M50" s="638"/>
      <c r="N50" s="638"/>
      <c r="O50" s="372"/>
      <c r="P50" s="372"/>
    </row>
    <row r="51" spans="1:16" ht="16.8">
      <c r="A51" s="372"/>
      <c r="B51" s="372"/>
      <c r="C51" s="372"/>
      <c r="D51" s="372" t="s">
        <v>889</v>
      </c>
      <c r="E51" s="636">
        <f t="shared" ref="E51:N51" si="25">CalcProd1Seg2NewCOGS</f>
        <v>4714713.8447674513</v>
      </c>
      <c r="F51" s="636">
        <f t="shared" si="25"/>
        <v>4714713.8447674513</v>
      </c>
      <c r="G51" s="636">
        <f t="shared" si="25"/>
        <v>4714713.8447674513</v>
      </c>
      <c r="H51" s="636">
        <f t="shared" si="25"/>
        <v>4714713.8447674513</v>
      </c>
      <c r="I51" s="636">
        <f t="shared" si="25"/>
        <v>4714713.8447674513</v>
      </c>
      <c r="J51" s="636">
        <f t="shared" si="25"/>
        <v>4714713.8447674513</v>
      </c>
      <c r="K51" s="636">
        <f t="shared" si="25"/>
        <v>4714713.8447674513</v>
      </c>
      <c r="L51" s="636">
        <f t="shared" si="25"/>
        <v>4714713.8447674513</v>
      </c>
      <c r="M51" s="636">
        <f t="shared" si="25"/>
        <v>4714713.8447674513</v>
      </c>
      <c r="N51" s="636">
        <f t="shared" si="25"/>
        <v>4714713.8447674513</v>
      </c>
      <c r="O51" s="372" t="s">
        <v>1885</v>
      </c>
      <c r="P51" s="371"/>
    </row>
    <row r="52" spans="1:16" ht="16.8">
      <c r="A52" s="372"/>
      <c r="B52" s="372"/>
      <c r="C52" s="372"/>
      <c r="D52" s="372" t="s">
        <v>888</v>
      </c>
      <c r="E52" s="636">
        <f t="shared" ref="E52:N52" si="26">CalcProd1Seg2RenewalCOGS</f>
        <v>5990119.3692953754</v>
      </c>
      <c r="F52" s="636">
        <f t="shared" si="26"/>
        <v>5990119.3692953754</v>
      </c>
      <c r="G52" s="636">
        <f t="shared" si="26"/>
        <v>5990119.3692953754</v>
      </c>
      <c r="H52" s="636">
        <f t="shared" si="26"/>
        <v>5990119.3692953754</v>
      </c>
      <c r="I52" s="636">
        <f t="shared" si="26"/>
        <v>5990119.3692953754</v>
      </c>
      <c r="J52" s="636">
        <f t="shared" si="26"/>
        <v>5990119.3692953754</v>
      </c>
      <c r="K52" s="636">
        <f t="shared" si="26"/>
        <v>5990119.3692953754</v>
      </c>
      <c r="L52" s="636">
        <f t="shared" si="26"/>
        <v>5990119.3692953754</v>
      </c>
      <c r="M52" s="636">
        <f t="shared" si="26"/>
        <v>5990119.3692953754</v>
      </c>
      <c r="N52" s="636">
        <f t="shared" si="26"/>
        <v>5990119.3692953754</v>
      </c>
      <c r="O52" s="372" t="s">
        <v>1886</v>
      </c>
      <c r="P52" s="371"/>
    </row>
    <row r="53" spans="1:16" ht="16.8">
      <c r="A53" s="372"/>
      <c r="B53" s="372"/>
      <c r="C53" s="372"/>
      <c r="D53" s="629" t="s">
        <v>1647</v>
      </c>
      <c r="E53" s="636">
        <f t="shared" ref="E53:N53" si="27">CalcProd1Seg2NonCloudCOGS</f>
        <v>2398275</v>
      </c>
      <c r="F53" s="636">
        <f t="shared" si="27"/>
        <v>2398275</v>
      </c>
      <c r="G53" s="636">
        <f t="shared" si="27"/>
        <v>2398275</v>
      </c>
      <c r="H53" s="636">
        <f t="shared" si="27"/>
        <v>2398275</v>
      </c>
      <c r="I53" s="636">
        <f t="shared" si="27"/>
        <v>2398275</v>
      </c>
      <c r="J53" s="636">
        <f t="shared" si="27"/>
        <v>2398275</v>
      </c>
      <c r="K53" s="636">
        <f t="shared" si="27"/>
        <v>2398275</v>
      </c>
      <c r="L53" s="636">
        <f t="shared" si="27"/>
        <v>2398275</v>
      </c>
      <c r="M53" s="636">
        <f t="shared" si="27"/>
        <v>2398275</v>
      </c>
      <c r="N53" s="636">
        <f t="shared" si="27"/>
        <v>2398275</v>
      </c>
      <c r="O53" s="629" t="s">
        <v>1887</v>
      </c>
      <c r="P53" s="372"/>
    </row>
    <row r="54" spans="1:16" ht="16.8">
      <c r="A54" s="372"/>
      <c r="B54" s="372"/>
      <c r="C54" s="372"/>
      <c r="D54" s="629" t="s">
        <v>459</v>
      </c>
      <c r="E54" s="632">
        <f t="shared" ref="E54:N54" si="28">calcServicesProd1Seg2TotalCOGS</f>
        <v>7123500</v>
      </c>
      <c r="F54" s="632">
        <f t="shared" si="28"/>
        <v>7123500</v>
      </c>
      <c r="G54" s="632">
        <f t="shared" si="28"/>
        <v>7123500</v>
      </c>
      <c r="H54" s="632">
        <f t="shared" si="28"/>
        <v>7123500</v>
      </c>
      <c r="I54" s="632">
        <f t="shared" si="28"/>
        <v>7123500</v>
      </c>
      <c r="J54" s="632">
        <f t="shared" si="28"/>
        <v>7123500</v>
      </c>
      <c r="K54" s="632">
        <f t="shared" si="28"/>
        <v>7123500</v>
      </c>
      <c r="L54" s="632">
        <f t="shared" si="28"/>
        <v>7123500</v>
      </c>
      <c r="M54" s="632">
        <f t="shared" si="28"/>
        <v>7123500</v>
      </c>
      <c r="N54" s="632">
        <f t="shared" si="28"/>
        <v>7123500</v>
      </c>
      <c r="O54" s="725" t="s">
        <v>1888</v>
      </c>
      <c r="P54" s="372"/>
    </row>
    <row r="55" spans="1:16" s="399" customFormat="1" ht="2.1" customHeight="1">
      <c r="A55" s="402"/>
      <c r="B55" s="304"/>
      <c r="C55" s="372"/>
      <c r="D55" s="401"/>
      <c r="E55" s="633"/>
      <c r="F55" s="634"/>
      <c r="G55" s="634"/>
      <c r="H55" s="634"/>
      <c r="I55" s="635"/>
      <c r="J55" s="633"/>
      <c r="K55" s="634"/>
      <c r="L55" s="634"/>
      <c r="M55" s="634"/>
      <c r="N55" s="635"/>
      <c r="O55" s="372"/>
      <c r="P55" s="400"/>
    </row>
    <row r="56" spans="1:16" ht="16.8">
      <c r="A56" s="372"/>
      <c r="B56" s="372"/>
      <c r="C56" s="372"/>
      <c r="D56" s="372" t="s">
        <v>50</v>
      </c>
      <c r="E56" s="636">
        <f t="shared" ref="E56:N56" si="29">SUM(E51:E55)</f>
        <v>20226608.214062825</v>
      </c>
      <c r="F56" s="636">
        <f t="shared" si="29"/>
        <v>20226608.214062825</v>
      </c>
      <c r="G56" s="636">
        <f t="shared" si="29"/>
        <v>20226608.214062825</v>
      </c>
      <c r="H56" s="636">
        <f t="shared" si="29"/>
        <v>20226608.214062825</v>
      </c>
      <c r="I56" s="636">
        <f t="shared" si="29"/>
        <v>20226608.214062825</v>
      </c>
      <c r="J56" s="636">
        <f t="shared" si="29"/>
        <v>20226608.214062825</v>
      </c>
      <c r="K56" s="636">
        <f t="shared" si="29"/>
        <v>20226608.214062825</v>
      </c>
      <c r="L56" s="636">
        <f t="shared" si="29"/>
        <v>20226608.214062825</v>
      </c>
      <c r="M56" s="636">
        <f t="shared" si="29"/>
        <v>20226608.214062825</v>
      </c>
      <c r="N56" s="636">
        <f t="shared" si="29"/>
        <v>20226608.214062825</v>
      </c>
      <c r="O56" s="372" t="s">
        <v>1889</v>
      </c>
      <c r="P56" s="372"/>
    </row>
    <row r="57" spans="1:16" ht="16.8">
      <c r="A57" s="372"/>
      <c r="B57" s="372"/>
      <c r="C57" s="372"/>
      <c r="D57" s="372"/>
      <c r="E57" s="373"/>
      <c r="F57" s="373"/>
      <c r="G57" s="373"/>
      <c r="H57" s="373"/>
      <c r="I57" s="373"/>
      <c r="J57" s="373"/>
      <c r="K57" s="373"/>
      <c r="L57" s="373"/>
      <c r="M57" s="373"/>
      <c r="N57" s="373"/>
      <c r="O57" s="372"/>
      <c r="P57" s="372"/>
    </row>
    <row r="58" spans="1:16" ht="16.8">
      <c r="A58" s="372"/>
      <c r="B58" s="372"/>
      <c r="C58" s="393" t="s">
        <v>206</v>
      </c>
      <c r="D58" s="372"/>
      <c r="E58" s="373"/>
      <c r="F58" s="373"/>
      <c r="G58" s="373"/>
      <c r="H58" s="373"/>
      <c r="I58" s="373"/>
      <c r="J58" s="373"/>
      <c r="K58" s="373"/>
      <c r="L58" s="373"/>
      <c r="M58" s="373"/>
      <c r="N58" s="373"/>
      <c r="O58" s="372"/>
      <c r="P58" s="372"/>
    </row>
    <row r="59" spans="1:16" ht="16.8">
      <c r="A59" s="372"/>
      <c r="B59" s="372"/>
      <c r="C59" s="372"/>
      <c r="D59" s="372" t="s">
        <v>206</v>
      </c>
      <c r="E59" s="636">
        <f t="shared" ref="E59:N59" si="30">finPNLProd1Seg2TotalRev-finPNLProd1Seg2TotalCOGs</f>
        <v>82247514.850534961</v>
      </c>
      <c r="F59" s="636">
        <f t="shared" si="30"/>
        <v>82247514.850534961</v>
      </c>
      <c r="G59" s="636">
        <f t="shared" si="30"/>
        <v>82247514.850534961</v>
      </c>
      <c r="H59" s="636">
        <f t="shared" si="30"/>
        <v>82247514.850534961</v>
      </c>
      <c r="I59" s="636">
        <f t="shared" si="30"/>
        <v>82247514.850534961</v>
      </c>
      <c r="J59" s="636">
        <f t="shared" si="30"/>
        <v>82247514.850534961</v>
      </c>
      <c r="K59" s="636">
        <f t="shared" si="30"/>
        <v>82247514.850534961</v>
      </c>
      <c r="L59" s="636">
        <f t="shared" si="30"/>
        <v>82247514.850534961</v>
      </c>
      <c r="M59" s="636">
        <f t="shared" si="30"/>
        <v>82247514.850534961</v>
      </c>
      <c r="N59" s="636">
        <f t="shared" si="30"/>
        <v>82247514.850534961</v>
      </c>
      <c r="O59" s="372" t="s">
        <v>1890</v>
      </c>
      <c r="P59" s="371"/>
    </row>
    <row r="60" spans="1:16" ht="16.8">
      <c r="A60" s="372"/>
      <c r="B60" s="372"/>
      <c r="C60" s="393"/>
      <c r="D60" s="409" t="s">
        <v>208</v>
      </c>
      <c r="E60" s="407">
        <f t="shared" ref="E60:N60" si="31">E59/finPNLProd1Seg2TotalRev</f>
        <v>0.80261740613957389</v>
      </c>
      <c r="F60" s="407">
        <f t="shared" si="31"/>
        <v>0.80261740613957389</v>
      </c>
      <c r="G60" s="407">
        <f t="shared" si="31"/>
        <v>0.80261740613957389</v>
      </c>
      <c r="H60" s="407">
        <f t="shared" si="31"/>
        <v>0.80261740613957389</v>
      </c>
      <c r="I60" s="407">
        <f t="shared" si="31"/>
        <v>0.80261740613957389</v>
      </c>
      <c r="J60" s="407">
        <f t="shared" si="31"/>
        <v>0.80261740613957389</v>
      </c>
      <c r="K60" s="407">
        <f t="shared" si="31"/>
        <v>0.80261740613957389</v>
      </c>
      <c r="L60" s="407">
        <f t="shared" si="31"/>
        <v>0.80261740613957389</v>
      </c>
      <c r="M60" s="407">
        <f t="shared" si="31"/>
        <v>0.80261740613957389</v>
      </c>
      <c r="N60" s="407">
        <f t="shared" si="31"/>
        <v>0.80261740613957389</v>
      </c>
      <c r="O60" s="372" t="s">
        <v>1891</v>
      </c>
      <c r="P60" s="372"/>
    </row>
    <row r="61" spans="1:16" ht="16.8">
      <c r="A61" s="372"/>
      <c r="B61" s="372"/>
      <c r="C61" s="372"/>
      <c r="D61" s="372"/>
      <c r="E61" s="408"/>
      <c r="F61" s="373"/>
      <c r="G61" s="373"/>
      <c r="H61" s="373"/>
      <c r="I61" s="373"/>
      <c r="J61" s="408"/>
      <c r="K61" s="373"/>
      <c r="L61" s="373"/>
      <c r="M61" s="373"/>
      <c r="N61" s="373"/>
      <c r="O61" s="372"/>
      <c r="P61" s="372"/>
    </row>
    <row r="62" spans="1:16" ht="16.8">
      <c r="A62" s="372"/>
      <c r="B62" s="372"/>
      <c r="C62" s="372"/>
      <c r="D62" s="372"/>
      <c r="E62" s="373"/>
      <c r="F62" s="373"/>
      <c r="G62" s="373"/>
      <c r="H62" s="373"/>
      <c r="I62" s="373"/>
      <c r="J62" s="373"/>
      <c r="K62" s="373"/>
      <c r="L62" s="373"/>
      <c r="M62" s="373"/>
      <c r="N62" s="373"/>
      <c r="O62" s="372"/>
      <c r="P62" s="372"/>
    </row>
    <row r="63" spans="1:16" s="580" customFormat="1" ht="13.8">
      <c r="B63" s="581" t="str">
        <f>nmProd1Seg3</f>
        <v>Productivity &amp; Business Consumer</v>
      </c>
      <c r="C63" s="581"/>
      <c r="D63" s="581"/>
      <c r="E63" s="582"/>
      <c r="F63" s="583"/>
      <c r="G63" s="583"/>
      <c r="H63" s="583"/>
      <c r="I63" s="583"/>
      <c r="J63" s="582"/>
      <c r="K63" s="583"/>
      <c r="L63" s="583"/>
      <c r="M63" s="583"/>
      <c r="N63" s="583"/>
      <c r="O63" s="676"/>
    </row>
    <row r="64" spans="1:16" ht="16.8">
      <c r="A64" s="372"/>
      <c r="B64" s="372"/>
      <c r="C64" s="372"/>
      <c r="D64" s="372"/>
      <c r="E64" s="373"/>
      <c r="F64" s="373"/>
      <c r="G64" s="373"/>
      <c r="H64" s="373"/>
      <c r="I64" s="373"/>
      <c r="J64" s="373"/>
      <c r="K64" s="373"/>
      <c r="L64" s="373"/>
      <c r="M64" s="373"/>
      <c r="N64" s="373"/>
      <c r="O64" s="372"/>
      <c r="P64" s="372"/>
    </row>
    <row r="65" spans="1:16" ht="16.8">
      <c r="A65" s="372"/>
      <c r="B65" s="372"/>
      <c r="C65" s="393" t="str">
        <f>FinDefBookingsName</f>
        <v>Bookings</v>
      </c>
      <c r="D65" s="372"/>
      <c r="E65" s="373"/>
      <c r="F65" s="373"/>
      <c r="G65" s="373"/>
      <c r="H65" s="373"/>
      <c r="I65" s="373"/>
      <c r="J65" s="373"/>
      <c r="K65" s="373"/>
      <c r="L65" s="373"/>
      <c r="M65" s="373"/>
      <c r="N65" s="373"/>
      <c r="O65" s="372"/>
      <c r="P65" s="372"/>
    </row>
    <row r="66" spans="1:16" ht="16.8">
      <c r="A66" s="372"/>
      <c r="B66" s="372"/>
      <c r="C66" s="372"/>
      <c r="D66" s="372" t="s">
        <v>889</v>
      </c>
      <c r="E66" s="632">
        <f>CalcProd1Seg3NewVolume*CalcProd1Seg3Price</f>
        <v>19293868.44000002</v>
      </c>
      <c r="F66" s="632">
        <f t="shared" ref="F66:N66" si="32">CalcProd1Seg3NewVolume*CalcProd1Seg3Price</f>
        <v>19293868.44000002</v>
      </c>
      <c r="G66" s="632">
        <f t="shared" si="32"/>
        <v>19293868.44000002</v>
      </c>
      <c r="H66" s="632">
        <f t="shared" si="32"/>
        <v>19293868.44000002</v>
      </c>
      <c r="I66" s="632">
        <f t="shared" si="32"/>
        <v>19293868.44000002</v>
      </c>
      <c r="J66" s="632">
        <f t="shared" si="32"/>
        <v>19293868.44000002</v>
      </c>
      <c r="K66" s="632">
        <f t="shared" si="32"/>
        <v>19293868.44000002</v>
      </c>
      <c r="L66" s="632">
        <f t="shared" si="32"/>
        <v>19293868.44000002</v>
      </c>
      <c r="M66" s="632">
        <f t="shared" si="32"/>
        <v>19293868.44000002</v>
      </c>
      <c r="N66" s="632">
        <f t="shared" si="32"/>
        <v>19293868.44000002</v>
      </c>
      <c r="O66" s="372" t="s">
        <v>1892</v>
      </c>
      <c r="P66" s="371"/>
    </row>
    <row r="67" spans="1:16" ht="16.8">
      <c r="A67" s="372"/>
      <c r="B67" s="372"/>
      <c r="C67" s="372"/>
      <c r="D67" s="372" t="s">
        <v>888</v>
      </c>
      <c r="E67" s="632">
        <f t="shared" ref="E67:N67" si="33">CalcProd1Seg3RenewalVolume*CalcProd1Seg3Price</f>
        <v>88339200.74734661</v>
      </c>
      <c r="F67" s="632">
        <f t="shared" si="33"/>
        <v>88339200.74734661</v>
      </c>
      <c r="G67" s="632">
        <f t="shared" si="33"/>
        <v>88339200.74734661</v>
      </c>
      <c r="H67" s="632">
        <f t="shared" si="33"/>
        <v>88339200.74734661</v>
      </c>
      <c r="I67" s="632">
        <f t="shared" si="33"/>
        <v>88339200.74734661</v>
      </c>
      <c r="J67" s="632">
        <f t="shared" si="33"/>
        <v>88339200.74734661</v>
      </c>
      <c r="K67" s="632">
        <f t="shared" si="33"/>
        <v>88339200.74734661</v>
      </c>
      <c r="L67" s="632">
        <f t="shared" si="33"/>
        <v>88339200.74734661</v>
      </c>
      <c r="M67" s="632">
        <f t="shared" si="33"/>
        <v>88339200.74734661</v>
      </c>
      <c r="N67" s="632">
        <f t="shared" si="33"/>
        <v>88339200.74734661</v>
      </c>
      <c r="O67" s="372" t="s">
        <v>1893</v>
      </c>
      <c r="P67" s="371"/>
    </row>
    <row r="68" spans="1:16" s="399" customFormat="1" ht="2.1" customHeight="1">
      <c r="A68" s="402"/>
      <c r="B68" s="304"/>
      <c r="C68" s="372"/>
      <c r="D68" s="401"/>
      <c r="E68" s="633"/>
      <c r="F68" s="634"/>
      <c r="G68" s="634"/>
      <c r="H68" s="634"/>
      <c r="I68" s="635"/>
      <c r="J68" s="633"/>
      <c r="K68" s="634"/>
      <c r="L68" s="634"/>
      <c r="M68" s="634"/>
      <c r="N68" s="635"/>
      <c r="O68" s="725"/>
      <c r="P68" s="400"/>
    </row>
    <row r="69" spans="1:16" ht="16.8">
      <c r="A69" s="372"/>
      <c r="B69" s="372"/>
      <c r="C69" s="372"/>
      <c r="D69" s="372" t="s">
        <v>50</v>
      </c>
      <c r="E69" s="632">
        <f t="shared" ref="E69:N69" si="34">SUM(E66:E67)</f>
        <v>107633069.18734664</v>
      </c>
      <c r="F69" s="632">
        <f t="shared" si="34"/>
        <v>107633069.18734664</v>
      </c>
      <c r="G69" s="632">
        <f t="shared" si="34"/>
        <v>107633069.18734664</v>
      </c>
      <c r="H69" s="632">
        <f t="shared" si="34"/>
        <v>107633069.18734664</v>
      </c>
      <c r="I69" s="632">
        <f t="shared" si="34"/>
        <v>107633069.18734664</v>
      </c>
      <c r="J69" s="632">
        <f t="shared" si="34"/>
        <v>107633069.18734664</v>
      </c>
      <c r="K69" s="632">
        <f t="shared" si="34"/>
        <v>107633069.18734664</v>
      </c>
      <c r="L69" s="632">
        <f t="shared" si="34"/>
        <v>107633069.18734664</v>
      </c>
      <c r="M69" s="632">
        <f t="shared" si="34"/>
        <v>107633069.18734664</v>
      </c>
      <c r="N69" s="632">
        <f t="shared" si="34"/>
        <v>107633069.18734664</v>
      </c>
      <c r="O69" s="372" t="s">
        <v>1894</v>
      </c>
      <c r="P69" s="372"/>
    </row>
    <row r="70" spans="1:16" ht="16.8">
      <c r="A70" s="372"/>
      <c r="B70" s="372"/>
      <c r="C70" s="372"/>
      <c r="D70" s="372"/>
      <c r="E70" s="638"/>
      <c r="F70" s="638"/>
      <c r="G70" s="638"/>
      <c r="H70" s="638"/>
      <c r="I70" s="638"/>
      <c r="J70" s="638"/>
      <c r="K70" s="638"/>
      <c r="L70" s="638"/>
      <c r="M70" s="638"/>
      <c r="N70" s="638"/>
      <c r="O70" s="372"/>
      <c r="P70" s="372"/>
    </row>
    <row r="71" spans="1:16" ht="16.8">
      <c r="A71" s="372"/>
      <c r="B71" s="372"/>
      <c r="C71" s="393" t="s">
        <v>900</v>
      </c>
      <c r="D71" s="372"/>
      <c r="E71" s="638"/>
      <c r="F71" s="638"/>
      <c r="G71" s="638"/>
      <c r="H71" s="638"/>
      <c r="I71" s="638"/>
      <c r="J71" s="638"/>
      <c r="K71" s="638"/>
      <c r="L71" s="638"/>
      <c r="M71" s="638"/>
      <c r="N71" s="638"/>
      <c r="O71" s="372"/>
      <c r="P71" s="372"/>
    </row>
    <row r="72" spans="1:16" ht="16.8">
      <c r="A72" s="372"/>
      <c r="B72" s="372"/>
      <c r="C72" s="372"/>
      <c r="D72" s="372" t="s">
        <v>889</v>
      </c>
      <c r="E72" s="632">
        <f t="shared" ref="E72:N72" si="35">E66*FinDefRecogRate</f>
        <v>9646934.22000001</v>
      </c>
      <c r="F72" s="632">
        <f t="shared" si="35"/>
        <v>9646934.22000001</v>
      </c>
      <c r="G72" s="632">
        <f t="shared" si="35"/>
        <v>9646934.22000001</v>
      </c>
      <c r="H72" s="632">
        <f t="shared" si="35"/>
        <v>9646934.22000001</v>
      </c>
      <c r="I72" s="632">
        <f t="shared" si="35"/>
        <v>9646934.22000001</v>
      </c>
      <c r="J72" s="632">
        <f t="shared" si="35"/>
        <v>9646934.22000001</v>
      </c>
      <c r="K72" s="632">
        <f t="shared" si="35"/>
        <v>9646934.22000001</v>
      </c>
      <c r="L72" s="632">
        <f t="shared" si="35"/>
        <v>9646934.22000001</v>
      </c>
      <c r="M72" s="632">
        <f t="shared" si="35"/>
        <v>9646934.22000001</v>
      </c>
      <c r="N72" s="632">
        <f t="shared" si="35"/>
        <v>9646934.22000001</v>
      </c>
      <c r="O72" s="372" t="s">
        <v>1895</v>
      </c>
      <c r="P72" s="372"/>
    </row>
    <row r="73" spans="1:16" ht="16.8">
      <c r="A73" s="372"/>
      <c r="B73" s="372"/>
      <c r="C73" s="372"/>
      <c r="D73" s="372" t="s">
        <v>888</v>
      </c>
      <c r="E73" s="703">
        <f t="shared" ref="E73:N73" si="36">(E67*FinDefRecogRate)</f>
        <v>44169600.373673305</v>
      </c>
      <c r="F73" s="703">
        <f t="shared" si="36"/>
        <v>44169600.373673305</v>
      </c>
      <c r="G73" s="703">
        <f t="shared" si="36"/>
        <v>44169600.373673305</v>
      </c>
      <c r="H73" s="703">
        <f t="shared" si="36"/>
        <v>44169600.373673305</v>
      </c>
      <c r="I73" s="703">
        <f t="shared" si="36"/>
        <v>44169600.373673305</v>
      </c>
      <c r="J73" s="703">
        <f t="shared" si="36"/>
        <v>44169600.373673305</v>
      </c>
      <c r="K73" s="703">
        <f t="shared" si="36"/>
        <v>44169600.373673305</v>
      </c>
      <c r="L73" s="703">
        <f t="shared" si="36"/>
        <v>44169600.373673305</v>
      </c>
      <c r="M73" s="703">
        <f t="shared" si="36"/>
        <v>44169600.373673305</v>
      </c>
      <c r="N73" s="703">
        <f t="shared" si="36"/>
        <v>44169600.373673305</v>
      </c>
      <c r="O73" s="372" t="s">
        <v>1896</v>
      </c>
      <c r="P73" s="372"/>
    </row>
    <row r="74" spans="1:16" ht="16.8">
      <c r="A74" s="372"/>
      <c r="B74" s="372"/>
      <c r="C74" s="372"/>
      <c r="D74" s="629" t="s">
        <v>1647</v>
      </c>
      <c r="E74" s="703">
        <f t="shared" ref="E74:N74" si="37">(CalcProd1Seg3NonCloudVolume*CalcProd1Seg3Price)</f>
        <v>0</v>
      </c>
      <c r="F74" s="703">
        <f t="shared" si="37"/>
        <v>0</v>
      </c>
      <c r="G74" s="703">
        <f t="shared" si="37"/>
        <v>0</v>
      </c>
      <c r="H74" s="703">
        <f t="shared" si="37"/>
        <v>0</v>
      </c>
      <c r="I74" s="703">
        <f t="shared" si="37"/>
        <v>0</v>
      </c>
      <c r="J74" s="703">
        <f t="shared" si="37"/>
        <v>0</v>
      </c>
      <c r="K74" s="703">
        <f t="shared" si="37"/>
        <v>0</v>
      </c>
      <c r="L74" s="703">
        <f t="shared" si="37"/>
        <v>0</v>
      </c>
      <c r="M74" s="703">
        <f t="shared" si="37"/>
        <v>0</v>
      </c>
      <c r="N74" s="703">
        <f t="shared" si="37"/>
        <v>0</v>
      </c>
      <c r="O74" s="629" t="s">
        <v>1897</v>
      </c>
      <c r="P74" s="372"/>
    </row>
    <row r="75" spans="1:16" ht="16.8">
      <c r="A75" s="372"/>
      <c r="B75" s="372"/>
      <c r="C75" s="372"/>
      <c r="D75" s="372" t="s">
        <v>899</v>
      </c>
      <c r="E75" s="632">
        <f t="shared" ref="E75:N75" si="38">obalProd1Seg3DefRev*IF(FinDefContractLength=1,0,IF(FinDefContractLength=2,1,IF(FinDefContractLength=3,0.5)))</f>
        <v>64019125.799999997</v>
      </c>
      <c r="F75" s="632">
        <f t="shared" si="38"/>
        <v>64019125.799999997</v>
      </c>
      <c r="G75" s="632">
        <f t="shared" si="38"/>
        <v>64019125.799999997</v>
      </c>
      <c r="H75" s="632">
        <f t="shared" si="38"/>
        <v>64019125.799999997</v>
      </c>
      <c r="I75" s="632">
        <f t="shared" si="38"/>
        <v>64019125.799999997</v>
      </c>
      <c r="J75" s="632">
        <f t="shared" si="38"/>
        <v>64019125.799999997</v>
      </c>
      <c r="K75" s="632">
        <f t="shared" si="38"/>
        <v>64019125.799999997</v>
      </c>
      <c r="L75" s="632">
        <f t="shared" si="38"/>
        <v>64019125.799999997</v>
      </c>
      <c r="M75" s="632">
        <f t="shared" si="38"/>
        <v>64019125.799999997</v>
      </c>
      <c r="N75" s="632">
        <f t="shared" si="38"/>
        <v>64019125.799999997</v>
      </c>
      <c r="O75" s="725" t="s">
        <v>1898</v>
      </c>
      <c r="P75" s="372"/>
    </row>
    <row r="76" spans="1:16" s="399" customFormat="1" ht="2.1" customHeight="1">
      <c r="A76" s="402"/>
      <c r="B76" s="304"/>
      <c r="C76" s="372"/>
      <c r="D76" s="401"/>
      <c r="E76" s="633"/>
      <c r="F76" s="634"/>
      <c r="G76" s="634"/>
      <c r="H76" s="634"/>
      <c r="I76" s="635"/>
      <c r="J76" s="633"/>
      <c r="K76" s="634"/>
      <c r="L76" s="634"/>
      <c r="M76" s="634"/>
      <c r="N76" s="635"/>
      <c r="O76" s="372"/>
      <c r="P76" s="400"/>
    </row>
    <row r="77" spans="1:16" ht="16.8">
      <c r="A77" s="372"/>
      <c r="B77" s="372"/>
      <c r="C77" s="372"/>
      <c r="D77" s="372" t="s">
        <v>50</v>
      </c>
      <c r="E77" s="636">
        <f t="shared" ref="E77:N77" si="39">SUM(E72:E75)</f>
        <v>117835660.39367332</v>
      </c>
      <c r="F77" s="636">
        <f t="shared" si="39"/>
        <v>117835660.39367332</v>
      </c>
      <c r="G77" s="636">
        <f t="shared" si="39"/>
        <v>117835660.39367332</v>
      </c>
      <c r="H77" s="636">
        <f t="shared" si="39"/>
        <v>117835660.39367332</v>
      </c>
      <c r="I77" s="636">
        <f t="shared" si="39"/>
        <v>117835660.39367332</v>
      </c>
      <c r="J77" s="636">
        <f t="shared" si="39"/>
        <v>117835660.39367332</v>
      </c>
      <c r="K77" s="636">
        <f t="shared" si="39"/>
        <v>117835660.39367332</v>
      </c>
      <c r="L77" s="636">
        <f t="shared" si="39"/>
        <v>117835660.39367332</v>
      </c>
      <c r="M77" s="636">
        <f t="shared" si="39"/>
        <v>117835660.39367332</v>
      </c>
      <c r="N77" s="636">
        <f t="shared" si="39"/>
        <v>117835660.39367332</v>
      </c>
      <c r="O77" s="372" t="s">
        <v>1899</v>
      </c>
      <c r="P77" s="372"/>
    </row>
    <row r="78" spans="1:16" ht="16.8">
      <c r="A78" s="372"/>
      <c r="B78" s="372"/>
      <c r="C78" s="372"/>
      <c r="D78" s="372"/>
      <c r="E78" s="638"/>
      <c r="F78" s="638"/>
      <c r="G78" s="638"/>
      <c r="H78" s="638"/>
      <c r="I78" s="638"/>
      <c r="J78" s="638"/>
      <c r="K78" s="638"/>
      <c r="L78" s="638"/>
      <c r="M78" s="638"/>
      <c r="N78" s="638"/>
      <c r="O78" s="372"/>
      <c r="P78" s="372"/>
    </row>
    <row r="79" spans="1:16" ht="16.8">
      <c r="A79" s="372"/>
      <c r="B79" s="372"/>
      <c r="C79" s="393" t="s">
        <v>898</v>
      </c>
      <c r="D79" s="372"/>
      <c r="E79" s="638"/>
      <c r="F79" s="638"/>
      <c r="G79" s="638"/>
      <c r="H79" s="638"/>
      <c r="I79" s="638"/>
      <c r="J79" s="638"/>
      <c r="K79" s="638"/>
      <c r="L79" s="638"/>
      <c r="M79" s="638"/>
      <c r="N79" s="638"/>
      <c r="O79" s="372"/>
      <c r="P79" s="372"/>
    </row>
    <row r="80" spans="1:16" ht="16.8">
      <c r="A80" s="372"/>
      <c r="B80" s="372"/>
      <c r="C80" s="372"/>
      <c r="D80" s="372" t="s">
        <v>889</v>
      </c>
      <c r="E80" s="636">
        <f t="shared" ref="E80:N80" si="40">CalcProd1Seg3NewCOGS</f>
        <v>3982061.8831731803</v>
      </c>
      <c r="F80" s="636">
        <f t="shared" si="40"/>
        <v>3982061.8831731803</v>
      </c>
      <c r="G80" s="636">
        <f t="shared" si="40"/>
        <v>3982061.8831731803</v>
      </c>
      <c r="H80" s="636">
        <f t="shared" si="40"/>
        <v>3982061.8831731803</v>
      </c>
      <c r="I80" s="636">
        <f t="shared" si="40"/>
        <v>3982061.8831731803</v>
      </c>
      <c r="J80" s="636">
        <f t="shared" si="40"/>
        <v>3982061.8831731803</v>
      </c>
      <c r="K80" s="636">
        <f t="shared" si="40"/>
        <v>3982061.8831731803</v>
      </c>
      <c r="L80" s="636">
        <f t="shared" si="40"/>
        <v>3982061.8831731803</v>
      </c>
      <c r="M80" s="636">
        <f t="shared" si="40"/>
        <v>3982061.8831731803</v>
      </c>
      <c r="N80" s="636">
        <f t="shared" si="40"/>
        <v>3982061.8831731803</v>
      </c>
      <c r="O80" s="372" t="s">
        <v>1900</v>
      </c>
      <c r="P80" s="371"/>
    </row>
    <row r="81" spans="1:16" ht="16.8">
      <c r="A81" s="372"/>
      <c r="B81" s="372"/>
      <c r="C81" s="372"/>
      <c r="D81" s="629" t="s">
        <v>1647</v>
      </c>
      <c r="E81" s="636">
        <f t="shared" ref="E81:N81" si="41">CalcProd1Seg3NonCloudCOGS</f>
        <v>0</v>
      </c>
      <c r="F81" s="636">
        <f t="shared" si="41"/>
        <v>0</v>
      </c>
      <c r="G81" s="636">
        <f t="shared" si="41"/>
        <v>0</v>
      </c>
      <c r="H81" s="636">
        <f t="shared" si="41"/>
        <v>0</v>
      </c>
      <c r="I81" s="636">
        <f t="shared" si="41"/>
        <v>0</v>
      </c>
      <c r="J81" s="636">
        <f t="shared" si="41"/>
        <v>0</v>
      </c>
      <c r="K81" s="636">
        <f t="shared" si="41"/>
        <v>0</v>
      </c>
      <c r="L81" s="636">
        <f t="shared" si="41"/>
        <v>0</v>
      </c>
      <c r="M81" s="636">
        <f t="shared" si="41"/>
        <v>0</v>
      </c>
      <c r="N81" s="636">
        <f t="shared" si="41"/>
        <v>0</v>
      </c>
      <c r="O81" s="629" t="s">
        <v>1901</v>
      </c>
      <c r="P81" s="372"/>
    </row>
    <row r="82" spans="1:16" ht="16.8">
      <c r="A82" s="372"/>
      <c r="B82" s="372"/>
      <c r="C82" s="372"/>
      <c r="D82" s="372" t="s">
        <v>888</v>
      </c>
      <c r="E82" s="636">
        <f t="shared" ref="E82:N82" si="42">CalcProd1Seg3RenewalCOGS</f>
        <v>15938688.748763025</v>
      </c>
      <c r="F82" s="636">
        <f t="shared" si="42"/>
        <v>15938688.748763025</v>
      </c>
      <c r="G82" s="636">
        <f t="shared" si="42"/>
        <v>15938688.748763025</v>
      </c>
      <c r="H82" s="636">
        <f t="shared" si="42"/>
        <v>15938688.748763025</v>
      </c>
      <c r="I82" s="636">
        <f t="shared" si="42"/>
        <v>15938688.748763025</v>
      </c>
      <c r="J82" s="636">
        <f t="shared" si="42"/>
        <v>15938688.748763025</v>
      </c>
      <c r="K82" s="636">
        <f t="shared" si="42"/>
        <v>15938688.748763025</v>
      </c>
      <c r="L82" s="636">
        <f t="shared" si="42"/>
        <v>15938688.748763025</v>
      </c>
      <c r="M82" s="636">
        <f t="shared" si="42"/>
        <v>15938688.748763025</v>
      </c>
      <c r="N82" s="636">
        <f t="shared" si="42"/>
        <v>15938688.748763025</v>
      </c>
      <c r="O82" s="372" t="s">
        <v>1902</v>
      </c>
      <c r="P82" s="371"/>
    </row>
    <row r="83" spans="1:16" s="399" customFormat="1" ht="2.1" customHeight="1">
      <c r="A83" s="402"/>
      <c r="B83" s="304"/>
      <c r="C83" s="372"/>
      <c r="D83" s="401"/>
      <c r="E83" s="633"/>
      <c r="F83" s="634"/>
      <c r="G83" s="634"/>
      <c r="H83" s="634"/>
      <c r="I83" s="635"/>
      <c r="J83" s="633"/>
      <c r="K83" s="634"/>
      <c r="L83" s="634"/>
      <c r="M83" s="634"/>
      <c r="N83" s="635"/>
      <c r="O83" s="372"/>
      <c r="P83" s="400"/>
    </row>
    <row r="84" spans="1:16" ht="16.8">
      <c r="A84" s="372"/>
      <c r="B84" s="372"/>
      <c r="C84" s="372"/>
      <c r="D84" s="372" t="s">
        <v>50</v>
      </c>
      <c r="E84" s="636">
        <f t="shared" ref="E84:N84" si="43">SUM(E80:E83)</f>
        <v>19920750.631936204</v>
      </c>
      <c r="F84" s="636">
        <f t="shared" si="43"/>
        <v>19920750.631936204</v>
      </c>
      <c r="G84" s="636">
        <f t="shared" si="43"/>
        <v>19920750.631936204</v>
      </c>
      <c r="H84" s="636">
        <f t="shared" si="43"/>
        <v>19920750.631936204</v>
      </c>
      <c r="I84" s="636">
        <f t="shared" si="43"/>
        <v>19920750.631936204</v>
      </c>
      <c r="J84" s="636">
        <f t="shared" si="43"/>
        <v>19920750.631936204</v>
      </c>
      <c r="K84" s="636">
        <f t="shared" si="43"/>
        <v>19920750.631936204</v>
      </c>
      <c r="L84" s="636">
        <f t="shared" si="43"/>
        <v>19920750.631936204</v>
      </c>
      <c r="M84" s="636">
        <f t="shared" si="43"/>
        <v>19920750.631936204</v>
      </c>
      <c r="N84" s="636">
        <f t="shared" si="43"/>
        <v>19920750.631936204</v>
      </c>
      <c r="O84" s="372" t="s">
        <v>1903</v>
      </c>
      <c r="P84" s="372"/>
    </row>
    <row r="85" spans="1:16" ht="16.8">
      <c r="A85" s="372"/>
      <c r="B85" s="372"/>
      <c r="C85" s="372"/>
      <c r="D85" s="372"/>
      <c r="E85" s="373"/>
      <c r="F85" s="373"/>
      <c r="G85" s="373"/>
      <c r="H85" s="373"/>
      <c r="I85" s="373"/>
      <c r="J85" s="373"/>
      <c r="K85" s="373"/>
      <c r="L85" s="373"/>
      <c r="M85" s="373"/>
      <c r="N85" s="373"/>
      <c r="O85" s="372"/>
      <c r="P85" s="372"/>
    </row>
    <row r="86" spans="1:16" ht="16.8">
      <c r="A86" s="372"/>
      <c r="B86" s="372"/>
      <c r="C86" s="393" t="s">
        <v>206</v>
      </c>
      <c r="D86" s="372"/>
      <c r="E86" s="373"/>
      <c r="F86" s="373"/>
      <c r="G86" s="373"/>
      <c r="H86" s="373"/>
      <c r="I86" s="373"/>
      <c r="J86" s="373"/>
      <c r="K86" s="373"/>
      <c r="L86" s="373"/>
      <c r="M86" s="373"/>
      <c r="N86" s="373"/>
      <c r="O86" s="372"/>
      <c r="P86" s="372"/>
    </row>
    <row r="87" spans="1:16" ht="16.8">
      <c r="A87" s="372"/>
      <c r="B87" s="372"/>
      <c r="C87" s="372"/>
      <c r="D87" s="372" t="s">
        <v>206</v>
      </c>
      <c r="E87" s="636">
        <f t="shared" ref="E87:N87" si="44">finPNLProd1Seg3TotalRev-finPNLProd1Seg3TotalCOGs</f>
        <v>97914909.761737108</v>
      </c>
      <c r="F87" s="636">
        <f t="shared" si="44"/>
        <v>97914909.761737108</v>
      </c>
      <c r="G87" s="636">
        <f t="shared" si="44"/>
        <v>97914909.761737108</v>
      </c>
      <c r="H87" s="636">
        <f t="shared" si="44"/>
        <v>97914909.761737108</v>
      </c>
      <c r="I87" s="636">
        <f t="shared" si="44"/>
        <v>97914909.761737108</v>
      </c>
      <c r="J87" s="636">
        <f t="shared" si="44"/>
        <v>97914909.761737108</v>
      </c>
      <c r="K87" s="636">
        <f t="shared" si="44"/>
        <v>97914909.761737108</v>
      </c>
      <c r="L87" s="636">
        <f t="shared" si="44"/>
        <v>97914909.761737108</v>
      </c>
      <c r="M87" s="636">
        <f t="shared" si="44"/>
        <v>97914909.761737108</v>
      </c>
      <c r="N87" s="636">
        <f t="shared" si="44"/>
        <v>97914909.761737108</v>
      </c>
      <c r="O87" s="372" t="s">
        <v>1904</v>
      </c>
      <c r="P87" s="371"/>
    </row>
    <row r="88" spans="1:16" ht="16.8">
      <c r="A88" s="372"/>
      <c r="B88" s="372"/>
      <c r="C88" s="393"/>
      <c r="D88" s="409" t="s">
        <v>208</v>
      </c>
      <c r="E88" s="407">
        <f t="shared" ref="E88:N88" si="45">E87/finPNLProd1Seg3TotalRev</f>
        <v>0.83094463454115997</v>
      </c>
      <c r="F88" s="407">
        <f t="shared" si="45"/>
        <v>0.83094463454115997</v>
      </c>
      <c r="G88" s="407">
        <f t="shared" si="45"/>
        <v>0.83094463454115997</v>
      </c>
      <c r="H88" s="407">
        <f t="shared" si="45"/>
        <v>0.83094463454115997</v>
      </c>
      <c r="I88" s="407">
        <f t="shared" si="45"/>
        <v>0.83094463454115997</v>
      </c>
      <c r="J88" s="407">
        <f t="shared" si="45"/>
        <v>0.83094463454115997</v>
      </c>
      <c r="K88" s="407">
        <f t="shared" si="45"/>
        <v>0.83094463454115997</v>
      </c>
      <c r="L88" s="407">
        <f t="shared" si="45"/>
        <v>0.83094463454115997</v>
      </c>
      <c r="M88" s="407">
        <f t="shared" si="45"/>
        <v>0.83094463454115997</v>
      </c>
      <c r="N88" s="407">
        <f t="shared" si="45"/>
        <v>0.83094463454115997</v>
      </c>
      <c r="O88" s="372" t="s">
        <v>1905</v>
      </c>
      <c r="P88" s="372"/>
    </row>
    <row r="89" spans="1:16" ht="16.8">
      <c r="A89" s="372"/>
      <c r="B89" s="372"/>
      <c r="C89" s="372"/>
      <c r="D89" s="372"/>
      <c r="E89" s="373"/>
      <c r="F89" s="373"/>
      <c r="G89" s="373"/>
      <c r="H89" s="373"/>
      <c r="I89" s="373"/>
      <c r="J89" s="373"/>
      <c r="K89" s="373"/>
      <c r="L89" s="373"/>
      <c r="M89" s="373"/>
      <c r="N89" s="373"/>
      <c r="O89" s="372"/>
      <c r="P89" s="372"/>
    </row>
    <row r="90" spans="1:16" s="580" customFormat="1" ht="13.8">
      <c r="B90" s="581" t="str">
        <f>nmProd2Seg1</f>
        <v>Intelligent Cloud Enterprise</v>
      </c>
      <c r="C90" s="581"/>
      <c r="D90" s="581"/>
      <c r="E90" s="582"/>
      <c r="F90" s="583"/>
      <c r="G90" s="583"/>
      <c r="H90" s="583"/>
      <c r="I90" s="583"/>
      <c r="J90" s="582"/>
      <c r="K90" s="583"/>
      <c r="L90" s="583"/>
      <c r="M90" s="583"/>
      <c r="N90" s="583"/>
      <c r="O90" s="676"/>
    </row>
    <row r="91" spans="1:16" ht="16.8">
      <c r="A91" s="372"/>
      <c r="B91" s="372"/>
      <c r="C91" s="372"/>
      <c r="D91" s="372"/>
      <c r="E91" s="373"/>
      <c r="F91" s="373"/>
      <c r="G91" s="373"/>
      <c r="H91" s="373"/>
      <c r="I91" s="373"/>
      <c r="J91" s="373"/>
      <c r="K91" s="373"/>
      <c r="L91" s="373"/>
      <c r="M91" s="373"/>
      <c r="N91" s="373"/>
      <c r="O91" s="372"/>
      <c r="P91" s="372"/>
    </row>
    <row r="92" spans="1:16" ht="16.8">
      <c r="A92" s="372"/>
      <c r="B92" s="372"/>
      <c r="C92" s="393" t="str">
        <f>FinDefBookingsName</f>
        <v>Bookings</v>
      </c>
      <c r="D92" s="372"/>
      <c r="E92" s="373"/>
      <c r="F92" s="373"/>
      <c r="G92" s="373"/>
      <c r="H92" s="373"/>
      <c r="I92" s="373"/>
      <c r="J92" s="373"/>
      <c r="K92" s="373"/>
      <c r="L92" s="373"/>
      <c r="M92" s="373"/>
      <c r="N92" s="373"/>
      <c r="O92" s="372"/>
      <c r="P92" s="372"/>
    </row>
    <row r="93" spans="1:16" ht="16.8">
      <c r="A93" s="372"/>
      <c r="B93" s="372"/>
      <c r="C93" s="372"/>
      <c r="D93" s="372" t="s">
        <v>889</v>
      </c>
      <c r="E93" s="632">
        <f t="shared" ref="E93:N93" si="46">CalcProd2Seg1NewVolume*CalcProd2Seg1Price</f>
        <v>81547331.580000028</v>
      </c>
      <c r="F93" s="632">
        <f t="shared" si="46"/>
        <v>81547331.580000028</v>
      </c>
      <c r="G93" s="632">
        <f t="shared" si="46"/>
        <v>81547331.580000028</v>
      </c>
      <c r="H93" s="632">
        <f t="shared" si="46"/>
        <v>81547331.580000028</v>
      </c>
      <c r="I93" s="632">
        <f t="shared" si="46"/>
        <v>81547331.580000028</v>
      </c>
      <c r="J93" s="632">
        <f t="shared" si="46"/>
        <v>81547331.580000028</v>
      </c>
      <c r="K93" s="632">
        <f t="shared" si="46"/>
        <v>81547331.580000028</v>
      </c>
      <c r="L93" s="632">
        <f t="shared" si="46"/>
        <v>81547331.580000028</v>
      </c>
      <c r="M93" s="632">
        <f t="shared" si="46"/>
        <v>81547331.580000028</v>
      </c>
      <c r="N93" s="632">
        <f t="shared" si="46"/>
        <v>81547331.580000028</v>
      </c>
      <c r="O93" s="372" t="s">
        <v>1906</v>
      </c>
      <c r="P93" s="371"/>
    </row>
    <row r="94" spans="1:16" ht="16.8">
      <c r="A94" s="372"/>
      <c r="B94" s="372"/>
      <c r="C94" s="372"/>
      <c r="D94" s="372" t="s">
        <v>888</v>
      </c>
      <c r="E94" s="632">
        <f t="shared" ref="E94:N94" si="47">CalcProd2Seg1RenewalVolume*CalcProd2Seg1Price</f>
        <v>80378039.562602371</v>
      </c>
      <c r="F94" s="632">
        <f t="shared" si="47"/>
        <v>80378039.562602371</v>
      </c>
      <c r="G94" s="632">
        <f t="shared" si="47"/>
        <v>80378039.562602371</v>
      </c>
      <c r="H94" s="632">
        <f t="shared" si="47"/>
        <v>80378039.562602371</v>
      </c>
      <c r="I94" s="632">
        <f t="shared" si="47"/>
        <v>80378039.562602371</v>
      </c>
      <c r="J94" s="632">
        <f t="shared" si="47"/>
        <v>80378039.562602371</v>
      </c>
      <c r="K94" s="632">
        <f t="shared" si="47"/>
        <v>80378039.562602371</v>
      </c>
      <c r="L94" s="632">
        <f t="shared" si="47"/>
        <v>80378039.562602371</v>
      </c>
      <c r="M94" s="632">
        <f t="shared" si="47"/>
        <v>80378039.562602371</v>
      </c>
      <c r="N94" s="632">
        <f t="shared" si="47"/>
        <v>80378039.562602371</v>
      </c>
      <c r="O94" s="372" t="s">
        <v>1907</v>
      </c>
      <c r="P94" s="371"/>
    </row>
    <row r="95" spans="1:16" s="399" customFormat="1" ht="2.1" customHeight="1">
      <c r="A95" s="402"/>
      <c r="B95" s="304"/>
      <c r="C95" s="372"/>
      <c r="D95" s="401"/>
      <c r="E95" s="633"/>
      <c r="F95" s="634"/>
      <c r="G95" s="634"/>
      <c r="H95" s="634"/>
      <c r="I95" s="635"/>
      <c r="J95" s="633"/>
      <c r="K95" s="634"/>
      <c r="L95" s="634"/>
      <c r="M95" s="634"/>
      <c r="N95" s="635"/>
      <c r="O95" s="725"/>
      <c r="P95" s="400"/>
    </row>
    <row r="96" spans="1:16" ht="16.8">
      <c r="A96" s="372"/>
      <c r="B96" s="372"/>
      <c r="C96" s="372"/>
      <c r="D96" s="372" t="s">
        <v>50</v>
      </c>
      <c r="E96" s="632">
        <f t="shared" ref="E96:N96" si="48">SUM(E93:E94)</f>
        <v>161925371.14260238</v>
      </c>
      <c r="F96" s="632">
        <f t="shared" si="48"/>
        <v>161925371.14260238</v>
      </c>
      <c r="G96" s="632">
        <f t="shared" si="48"/>
        <v>161925371.14260238</v>
      </c>
      <c r="H96" s="632">
        <f t="shared" si="48"/>
        <v>161925371.14260238</v>
      </c>
      <c r="I96" s="632">
        <f t="shared" si="48"/>
        <v>161925371.14260238</v>
      </c>
      <c r="J96" s="632">
        <f t="shared" si="48"/>
        <v>161925371.14260238</v>
      </c>
      <c r="K96" s="632">
        <f t="shared" si="48"/>
        <v>161925371.14260238</v>
      </c>
      <c r="L96" s="632">
        <f t="shared" si="48"/>
        <v>161925371.14260238</v>
      </c>
      <c r="M96" s="632">
        <f t="shared" si="48"/>
        <v>161925371.14260238</v>
      </c>
      <c r="N96" s="632">
        <f t="shared" si="48"/>
        <v>161925371.14260238</v>
      </c>
      <c r="O96" s="372" t="s">
        <v>1908</v>
      </c>
      <c r="P96" s="372"/>
    </row>
    <row r="97" spans="1:16" ht="16.8">
      <c r="A97" s="372"/>
      <c r="B97" s="372"/>
      <c r="C97" s="372"/>
      <c r="D97" s="372"/>
      <c r="E97" s="638"/>
      <c r="F97" s="638"/>
      <c r="G97" s="638"/>
      <c r="H97" s="638"/>
      <c r="I97" s="638"/>
      <c r="J97" s="638"/>
      <c r="K97" s="638"/>
      <c r="L97" s="638"/>
      <c r="M97" s="638"/>
      <c r="N97" s="638"/>
      <c r="O97" s="372"/>
      <c r="P97" s="372"/>
    </row>
    <row r="98" spans="1:16" ht="16.8">
      <c r="A98" s="372"/>
      <c r="B98" s="372"/>
      <c r="C98" s="393" t="s">
        <v>900</v>
      </c>
      <c r="D98" s="372"/>
      <c r="E98" s="638"/>
      <c r="F98" s="638"/>
      <c r="G98" s="638"/>
      <c r="H98" s="638"/>
      <c r="I98" s="638"/>
      <c r="J98" s="638"/>
      <c r="K98" s="638"/>
      <c r="L98" s="638"/>
      <c r="M98" s="638"/>
      <c r="N98" s="638"/>
      <c r="O98" s="372"/>
      <c r="P98" s="372"/>
    </row>
    <row r="99" spans="1:16" ht="16.8">
      <c r="A99" s="372"/>
      <c r="B99" s="372"/>
      <c r="C99" s="372"/>
      <c r="D99" s="372" t="s">
        <v>889</v>
      </c>
      <c r="E99" s="632">
        <f t="shared" ref="E99:N99" si="49">(E93*FinDefRecogRate)+paramChallengeProd2Seg1Revenue</f>
        <v>40773665.790000014</v>
      </c>
      <c r="F99" s="632">
        <f t="shared" si="49"/>
        <v>40773665.790000014</v>
      </c>
      <c r="G99" s="632">
        <f t="shared" si="49"/>
        <v>40773665.790000014</v>
      </c>
      <c r="H99" s="632">
        <f t="shared" si="49"/>
        <v>40773665.790000014</v>
      </c>
      <c r="I99" s="632">
        <f t="shared" si="49"/>
        <v>40773665.790000014</v>
      </c>
      <c r="J99" s="632">
        <f t="shared" si="49"/>
        <v>40773665.790000014</v>
      </c>
      <c r="K99" s="632">
        <f t="shared" si="49"/>
        <v>40773665.790000014</v>
      </c>
      <c r="L99" s="632">
        <f t="shared" si="49"/>
        <v>40773665.790000014</v>
      </c>
      <c r="M99" s="632">
        <f t="shared" si="49"/>
        <v>40773665.790000014</v>
      </c>
      <c r="N99" s="632">
        <f t="shared" si="49"/>
        <v>40773665.790000014</v>
      </c>
      <c r="O99" s="372" t="s">
        <v>1909</v>
      </c>
      <c r="P99" s="372"/>
    </row>
    <row r="100" spans="1:16" ht="16.8">
      <c r="A100" s="372"/>
      <c r="B100" s="372"/>
      <c r="C100" s="372"/>
      <c r="D100" s="372" t="s">
        <v>888</v>
      </c>
      <c r="E100" s="632">
        <f t="shared" ref="E100:N100" si="50">E94*FinDefRecogRate</f>
        <v>40189019.781301185</v>
      </c>
      <c r="F100" s="632">
        <f t="shared" si="50"/>
        <v>40189019.781301185</v>
      </c>
      <c r="G100" s="632">
        <f t="shared" si="50"/>
        <v>40189019.781301185</v>
      </c>
      <c r="H100" s="632">
        <f t="shared" si="50"/>
        <v>40189019.781301185</v>
      </c>
      <c r="I100" s="632">
        <f t="shared" si="50"/>
        <v>40189019.781301185</v>
      </c>
      <c r="J100" s="632">
        <f t="shared" si="50"/>
        <v>40189019.781301185</v>
      </c>
      <c r="K100" s="632">
        <f t="shared" si="50"/>
        <v>40189019.781301185</v>
      </c>
      <c r="L100" s="632">
        <f t="shared" si="50"/>
        <v>40189019.781301185</v>
      </c>
      <c r="M100" s="632">
        <f t="shared" si="50"/>
        <v>40189019.781301185</v>
      </c>
      <c r="N100" s="632">
        <f t="shared" si="50"/>
        <v>40189019.781301185</v>
      </c>
      <c r="O100" s="372" t="s">
        <v>1910</v>
      </c>
      <c r="P100" s="372"/>
    </row>
    <row r="101" spans="1:16" ht="16.8">
      <c r="A101" s="372"/>
      <c r="B101" s="372"/>
      <c r="C101" s="372"/>
      <c r="D101" s="629" t="s">
        <v>459</v>
      </c>
      <c r="E101" s="632">
        <f t="shared" ref="E101:N101" si="51">calcServicesProd2Seg1TotalRev</f>
        <v>4230000</v>
      </c>
      <c r="F101" s="632">
        <f t="shared" si="51"/>
        <v>4230000</v>
      </c>
      <c r="G101" s="632">
        <f t="shared" si="51"/>
        <v>4230000</v>
      </c>
      <c r="H101" s="632">
        <f t="shared" si="51"/>
        <v>4230000</v>
      </c>
      <c r="I101" s="632">
        <f t="shared" si="51"/>
        <v>4230000</v>
      </c>
      <c r="J101" s="632">
        <f t="shared" si="51"/>
        <v>4230000</v>
      </c>
      <c r="K101" s="632">
        <f t="shared" si="51"/>
        <v>4230000</v>
      </c>
      <c r="L101" s="632">
        <f t="shared" si="51"/>
        <v>4230000</v>
      </c>
      <c r="M101" s="632">
        <f t="shared" si="51"/>
        <v>4230000</v>
      </c>
      <c r="N101" s="632">
        <f t="shared" si="51"/>
        <v>4230000</v>
      </c>
      <c r="O101" s="725" t="s">
        <v>1911</v>
      </c>
      <c r="P101" s="372"/>
    </row>
    <row r="102" spans="1:16" ht="16.8">
      <c r="A102" s="372"/>
      <c r="B102" s="372"/>
      <c r="C102" s="372"/>
      <c r="D102" s="372" t="s">
        <v>899</v>
      </c>
      <c r="E102" s="632">
        <f t="shared" ref="E102:N102" si="52">obalProd2Seg1DefRev*IF(FinDefContractLength=1,0,IF(FinDefContractLength=2,1,IF(FinDefContractLength=3,0.5)))</f>
        <v>58249698.693025321</v>
      </c>
      <c r="F102" s="632">
        <f t="shared" si="52"/>
        <v>58249698.693025321</v>
      </c>
      <c r="G102" s="632">
        <f t="shared" si="52"/>
        <v>58249698.693025321</v>
      </c>
      <c r="H102" s="632">
        <f t="shared" si="52"/>
        <v>58249698.693025321</v>
      </c>
      <c r="I102" s="632">
        <f t="shared" si="52"/>
        <v>58249698.693025321</v>
      </c>
      <c r="J102" s="632">
        <f t="shared" si="52"/>
        <v>58249698.693025321</v>
      </c>
      <c r="K102" s="632">
        <f t="shared" si="52"/>
        <v>58249698.693025321</v>
      </c>
      <c r="L102" s="632">
        <f t="shared" si="52"/>
        <v>58249698.693025321</v>
      </c>
      <c r="M102" s="632">
        <f t="shared" si="52"/>
        <v>58249698.693025321</v>
      </c>
      <c r="N102" s="632">
        <f t="shared" si="52"/>
        <v>58249698.693025321</v>
      </c>
      <c r="O102" s="725" t="s">
        <v>1912</v>
      </c>
      <c r="P102" s="372"/>
    </row>
    <row r="103" spans="1:16" s="399" customFormat="1" ht="2.1" customHeight="1">
      <c r="A103" s="402"/>
      <c r="B103" s="304"/>
      <c r="C103" s="372"/>
      <c r="D103" s="401"/>
      <c r="E103" s="633"/>
      <c r="F103" s="634"/>
      <c r="G103" s="634"/>
      <c r="H103" s="634"/>
      <c r="I103" s="635"/>
      <c r="J103" s="633"/>
      <c r="K103" s="634"/>
      <c r="L103" s="634"/>
      <c r="M103" s="634"/>
      <c r="N103" s="635"/>
      <c r="O103" s="372"/>
      <c r="P103" s="400"/>
    </row>
    <row r="104" spans="1:16" ht="16.8">
      <c r="A104" s="372"/>
      <c r="B104" s="372"/>
      <c r="C104" s="372"/>
      <c r="D104" s="372" t="s">
        <v>50</v>
      </c>
      <c r="E104" s="636">
        <f t="shared" ref="E104:N104" si="53">SUM(E99:E102)</f>
        <v>143442384.26432651</v>
      </c>
      <c r="F104" s="636">
        <f t="shared" si="53"/>
        <v>143442384.26432651</v>
      </c>
      <c r="G104" s="636">
        <f t="shared" si="53"/>
        <v>143442384.26432651</v>
      </c>
      <c r="H104" s="636">
        <f t="shared" si="53"/>
        <v>143442384.26432651</v>
      </c>
      <c r="I104" s="636">
        <f t="shared" si="53"/>
        <v>143442384.26432651</v>
      </c>
      <c r="J104" s="636">
        <f t="shared" si="53"/>
        <v>143442384.26432651</v>
      </c>
      <c r="K104" s="636">
        <f t="shared" si="53"/>
        <v>143442384.26432651</v>
      </c>
      <c r="L104" s="636">
        <f t="shared" si="53"/>
        <v>143442384.26432651</v>
      </c>
      <c r="M104" s="636">
        <f t="shared" si="53"/>
        <v>143442384.26432651</v>
      </c>
      <c r="N104" s="636">
        <f t="shared" si="53"/>
        <v>143442384.26432651</v>
      </c>
      <c r="O104" s="372" t="s">
        <v>1913</v>
      </c>
      <c r="P104" s="372"/>
    </row>
    <row r="105" spans="1:16" ht="16.8">
      <c r="A105" s="372"/>
      <c r="B105" s="372"/>
      <c r="C105" s="372"/>
      <c r="D105" s="372"/>
      <c r="E105" s="638"/>
      <c r="F105" s="638"/>
      <c r="G105" s="638"/>
      <c r="H105" s="638"/>
      <c r="I105" s="638"/>
      <c r="J105" s="638"/>
      <c r="K105" s="638"/>
      <c r="L105" s="638"/>
      <c r="M105" s="638"/>
      <c r="N105" s="638"/>
      <c r="O105" s="372"/>
      <c r="P105" s="372"/>
    </row>
    <row r="106" spans="1:16" ht="16.8">
      <c r="A106" s="372"/>
      <c r="B106" s="372"/>
      <c r="C106" s="393" t="s">
        <v>898</v>
      </c>
      <c r="D106" s="372"/>
      <c r="E106" s="638"/>
      <c r="F106" s="638"/>
      <c r="G106" s="638"/>
      <c r="H106" s="638"/>
      <c r="I106" s="638"/>
      <c r="J106" s="638"/>
      <c r="K106" s="638"/>
      <c r="L106" s="638"/>
      <c r="M106" s="638"/>
      <c r="N106" s="638"/>
      <c r="O106" s="372"/>
      <c r="P106" s="372"/>
    </row>
    <row r="107" spans="1:16" ht="16.8">
      <c r="A107" s="372"/>
      <c r="B107" s="372"/>
      <c r="C107" s="372"/>
      <c r="D107" s="372" t="s">
        <v>889</v>
      </c>
      <c r="E107" s="636">
        <f t="shared" ref="E107:N107" si="54">CalcProd2Seg1NewCOGS</f>
        <v>16015082.037525626</v>
      </c>
      <c r="F107" s="636">
        <f t="shared" si="54"/>
        <v>16015082.037525626</v>
      </c>
      <c r="G107" s="636">
        <f t="shared" si="54"/>
        <v>16015082.037525626</v>
      </c>
      <c r="H107" s="636">
        <f t="shared" si="54"/>
        <v>16015082.037525626</v>
      </c>
      <c r="I107" s="636">
        <f t="shared" si="54"/>
        <v>16015082.037525626</v>
      </c>
      <c r="J107" s="636">
        <f t="shared" si="54"/>
        <v>16015082.037525626</v>
      </c>
      <c r="K107" s="636">
        <f t="shared" si="54"/>
        <v>16015082.037525626</v>
      </c>
      <c r="L107" s="636">
        <f t="shared" si="54"/>
        <v>16015082.037525626</v>
      </c>
      <c r="M107" s="636">
        <f t="shared" si="54"/>
        <v>16015082.037525626</v>
      </c>
      <c r="N107" s="636">
        <f t="shared" si="54"/>
        <v>16015082.037525626</v>
      </c>
      <c r="O107" s="372" t="s">
        <v>1914</v>
      </c>
      <c r="P107" s="371"/>
    </row>
    <row r="108" spans="1:16" ht="16.8">
      <c r="A108" s="372"/>
      <c r="B108" s="372"/>
      <c r="C108" s="372"/>
      <c r="D108" s="372" t="s">
        <v>888</v>
      </c>
      <c r="E108" s="636">
        <f t="shared" ref="E108:N108" si="55">CalcProd2Seg1RenewalCOGS</f>
        <v>14177883.964199223</v>
      </c>
      <c r="F108" s="636">
        <f t="shared" si="55"/>
        <v>14177883.964199223</v>
      </c>
      <c r="G108" s="636">
        <f t="shared" si="55"/>
        <v>14177883.964199223</v>
      </c>
      <c r="H108" s="636">
        <f t="shared" si="55"/>
        <v>14177883.964199223</v>
      </c>
      <c r="I108" s="636">
        <f t="shared" si="55"/>
        <v>14177883.964199223</v>
      </c>
      <c r="J108" s="636">
        <f t="shared" si="55"/>
        <v>14177883.964199223</v>
      </c>
      <c r="K108" s="636">
        <f t="shared" si="55"/>
        <v>14177883.964199223</v>
      </c>
      <c r="L108" s="636">
        <f t="shared" si="55"/>
        <v>14177883.964199223</v>
      </c>
      <c r="M108" s="636">
        <f t="shared" si="55"/>
        <v>14177883.964199223</v>
      </c>
      <c r="N108" s="636">
        <f t="shared" si="55"/>
        <v>14177883.964199223</v>
      </c>
      <c r="O108" s="372" t="s">
        <v>1915</v>
      </c>
      <c r="P108" s="371"/>
    </row>
    <row r="109" spans="1:16" ht="16.8">
      <c r="A109" s="372"/>
      <c r="B109" s="372"/>
      <c r="C109" s="372"/>
      <c r="D109" s="629" t="s">
        <v>459</v>
      </c>
      <c r="E109" s="632">
        <f t="shared" ref="E109:N109" si="56">calcServicesProd2Seg1TotalCOGS</f>
        <v>1269000</v>
      </c>
      <c r="F109" s="632">
        <f t="shared" si="56"/>
        <v>1269000</v>
      </c>
      <c r="G109" s="632">
        <f t="shared" si="56"/>
        <v>1269000</v>
      </c>
      <c r="H109" s="632">
        <f t="shared" si="56"/>
        <v>1269000</v>
      </c>
      <c r="I109" s="632">
        <f t="shared" si="56"/>
        <v>1269000</v>
      </c>
      <c r="J109" s="632">
        <f t="shared" si="56"/>
        <v>1269000</v>
      </c>
      <c r="K109" s="632">
        <f t="shared" si="56"/>
        <v>1269000</v>
      </c>
      <c r="L109" s="632">
        <f t="shared" si="56"/>
        <v>1269000</v>
      </c>
      <c r="M109" s="632">
        <f t="shared" si="56"/>
        <v>1269000</v>
      </c>
      <c r="N109" s="632">
        <f t="shared" si="56"/>
        <v>1269000</v>
      </c>
      <c r="O109" s="725" t="s">
        <v>1916</v>
      </c>
      <c r="P109" s="372"/>
    </row>
    <row r="110" spans="1:16" s="399" customFormat="1" ht="2.1" customHeight="1">
      <c r="A110" s="402"/>
      <c r="B110" s="304"/>
      <c r="C110" s="372"/>
      <c r="D110" s="401"/>
      <c r="E110" s="633"/>
      <c r="F110" s="634"/>
      <c r="G110" s="634"/>
      <c r="H110" s="634"/>
      <c r="I110" s="635"/>
      <c r="J110" s="633"/>
      <c r="K110" s="634"/>
      <c r="L110" s="634"/>
      <c r="M110" s="634"/>
      <c r="N110" s="635"/>
      <c r="O110" s="372"/>
      <c r="P110" s="400"/>
    </row>
    <row r="111" spans="1:16" ht="16.8">
      <c r="A111" s="372"/>
      <c r="B111" s="372"/>
      <c r="C111" s="372"/>
      <c r="D111" s="372" t="s">
        <v>50</v>
      </c>
      <c r="E111" s="636">
        <f t="shared" ref="E111:N111" si="57">SUM(E107:E110)</f>
        <v>31461966.001724847</v>
      </c>
      <c r="F111" s="636">
        <f t="shared" si="57"/>
        <v>31461966.001724847</v>
      </c>
      <c r="G111" s="636">
        <f t="shared" si="57"/>
        <v>31461966.001724847</v>
      </c>
      <c r="H111" s="636">
        <f t="shared" si="57"/>
        <v>31461966.001724847</v>
      </c>
      <c r="I111" s="636">
        <f t="shared" si="57"/>
        <v>31461966.001724847</v>
      </c>
      <c r="J111" s="636">
        <f t="shared" si="57"/>
        <v>31461966.001724847</v>
      </c>
      <c r="K111" s="636">
        <f t="shared" si="57"/>
        <v>31461966.001724847</v>
      </c>
      <c r="L111" s="636">
        <f t="shared" si="57"/>
        <v>31461966.001724847</v>
      </c>
      <c r="M111" s="636">
        <f t="shared" si="57"/>
        <v>31461966.001724847</v>
      </c>
      <c r="N111" s="636">
        <f t="shared" si="57"/>
        <v>31461966.001724847</v>
      </c>
      <c r="O111" s="372" t="s">
        <v>1917</v>
      </c>
      <c r="P111" s="372"/>
    </row>
    <row r="112" spans="1:16" ht="16.8">
      <c r="A112" s="372"/>
      <c r="B112" s="372"/>
      <c r="C112" s="372"/>
      <c r="D112" s="372"/>
      <c r="E112" s="638"/>
      <c r="F112" s="638"/>
      <c r="G112" s="638"/>
      <c r="H112" s="638"/>
      <c r="I112" s="638"/>
      <c r="J112" s="638"/>
      <c r="K112" s="638"/>
      <c r="L112" s="638"/>
      <c r="M112" s="638"/>
      <c r="N112" s="638"/>
      <c r="O112" s="372"/>
      <c r="P112" s="372"/>
    </row>
    <row r="113" spans="1:16" ht="16.8">
      <c r="A113" s="372"/>
      <c r="B113" s="372"/>
      <c r="C113" s="393" t="s">
        <v>206</v>
      </c>
      <c r="D113" s="372"/>
      <c r="E113" s="638"/>
      <c r="F113" s="638"/>
      <c r="G113" s="638"/>
      <c r="H113" s="638"/>
      <c r="I113" s="638"/>
      <c r="J113" s="638"/>
      <c r="K113" s="638"/>
      <c r="L113" s="638"/>
      <c r="M113" s="638"/>
      <c r="N113" s="638"/>
      <c r="O113" s="372"/>
      <c r="P113" s="372"/>
    </row>
    <row r="114" spans="1:16" ht="16.8">
      <c r="A114" s="372"/>
      <c r="B114" s="372"/>
      <c r="C114" s="372"/>
      <c r="D114" s="372" t="s">
        <v>206</v>
      </c>
      <c r="E114" s="636">
        <f t="shared" ref="E114:N114" si="58">finPNLProd2Seg1TotalRev-finPNLProd2Seg1TotalCOGs</f>
        <v>111980418.26260167</v>
      </c>
      <c r="F114" s="636">
        <f t="shared" si="58"/>
        <v>111980418.26260167</v>
      </c>
      <c r="G114" s="636">
        <f t="shared" si="58"/>
        <v>111980418.26260167</v>
      </c>
      <c r="H114" s="636">
        <f t="shared" si="58"/>
        <v>111980418.26260167</v>
      </c>
      <c r="I114" s="636">
        <f t="shared" si="58"/>
        <v>111980418.26260167</v>
      </c>
      <c r="J114" s="636">
        <f t="shared" si="58"/>
        <v>111980418.26260167</v>
      </c>
      <c r="K114" s="636">
        <f t="shared" si="58"/>
        <v>111980418.26260167</v>
      </c>
      <c r="L114" s="636">
        <f t="shared" si="58"/>
        <v>111980418.26260167</v>
      </c>
      <c r="M114" s="636">
        <f t="shared" si="58"/>
        <v>111980418.26260167</v>
      </c>
      <c r="N114" s="636">
        <f t="shared" si="58"/>
        <v>111980418.26260167</v>
      </c>
      <c r="O114" s="372" t="s">
        <v>1918</v>
      </c>
      <c r="P114" s="371"/>
    </row>
    <row r="115" spans="1:16" ht="16.8">
      <c r="A115" s="372"/>
      <c r="B115" s="372"/>
      <c r="C115" s="393"/>
      <c r="D115" s="409" t="s">
        <v>208</v>
      </c>
      <c r="E115" s="407">
        <f t="shared" ref="E115:N115" si="59">E114/finPNLProd2Seg1TotalRev</f>
        <v>0.78066478633157177</v>
      </c>
      <c r="F115" s="407">
        <f t="shared" si="59"/>
        <v>0.78066478633157177</v>
      </c>
      <c r="G115" s="407">
        <f t="shared" si="59"/>
        <v>0.78066478633157177</v>
      </c>
      <c r="H115" s="407">
        <f t="shared" si="59"/>
        <v>0.78066478633157177</v>
      </c>
      <c r="I115" s="407">
        <f t="shared" si="59"/>
        <v>0.78066478633157177</v>
      </c>
      <c r="J115" s="407">
        <f t="shared" si="59"/>
        <v>0.78066478633157177</v>
      </c>
      <c r="K115" s="407">
        <f t="shared" si="59"/>
        <v>0.78066478633157177</v>
      </c>
      <c r="L115" s="407">
        <f t="shared" si="59"/>
        <v>0.78066478633157177</v>
      </c>
      <c r="M115" s="407">
        <f t="shared" si="59"/>
        <v>0.78066478633157177</v>
      </c>
      <c r="N115" s="407">
        <f t="shared" si="59"/>
        <v>0.78066478633157177</v>
      </c>
      <c r="O115" s="372" t="s">
        <v>1919</v>
      </c>
      <c r="P115" s="372"/>
    </row>
    <row r="116" spans="1:16" ht="16.8">
      <c r="A116" s="372"/>
      <c r="B116" s="372"/>
      <c r="C116" s="372"/>
      <c r="D116" s="372"/>
      <c r="E116" s="408"/>
      <c r="F116" s="373"/>
      <c r="G116" s="373"/>
      <c r="H116" s="373"/>
      <c r="I116" s="373"/>
      <c r="J116" s="408"/>
      <c r="K116" s="373"/>
      <c r="L116" s="373"/>
      <c r="M116" s="373"/>
      <c r="N116" s="373"/>
      <c r="O116" s="372"/>
      <c r="P116" s="372"/>
    </row>
    <row r="117" spans="1:16" ht="16.8">
      <c r="A117" s="372"/>
      <c r="B117" s="372"/>
      <c r="C117" s="372"/>
      <c r="D117" s="372"/>
      <c r="E117" s="373"/>
      <c r="F117" s="373"/>
      <c r="G117" s="373"/>
      <c r="H117" s="373"/>
      <c r="I117" s="373"/>
      <c r="J117" s="373"/>
      <c r="K117" s="373"/>
      <c r="L117" s="373"/>
      <c r="M117" s="373"/>
      <c r="N117" s="373"/>
      <c r="O117" s="372"/>
      <c r="P117" s="372"/>
    </row>
    <row r="118" spans="1:16" s="580" customFormat="1" ht="13.8">
      <c r="B118" s="581" t="str">
        <f>nmProd2Seg2</f>
        <v>Intelligent Cloud SMC</v>
      </c>
      <c r="C118" s="581"/>
      <c r="D118" s="581"/>
      <c r="E118" s="582"/>
      <c r="F118" s="583"/>
      <c r="G118" s="583"/>
      <c r="H118" s="583"/>
      <c r="I118" s="583"/>
      <c r="J118" s="582"/>
      <c r="K118" s="583"/>
      <c r="L118" s="583"/>
      <c r="M118" s="583"/>
      <c r="N118" s="583"/>
      <c r="O118" s="676"/>
    </row>
    <row r="119" spans="1:16" ht="16.8">
      <c r="A119" s="372"/>
      <c r="B119" s="372"/>
      <c r="C119" s="372"/>
      <c r="D119" s="372"/>
      <c r="E119" s="373"/>
      <c r="F119" s="373"/>
      <c r="G119" s="373"/>
      <c r="H119" s="373"/>
      <c r="I119" s="373"/>
      <c r="J119" s="373"/>
      <c r="K119" s="373"/>
      <c r="L119" s="373"/>
      <c r="M119" s="373"/>
      <c r="N119" s="373"/>
      <c r="O119" s="372"/>
      <c r="P119" s="372"/>
    </row>
    <row r="120" spans="1:16" ht="16.8">
      <c r="A120" s="372"/>
      <c r="B120" s="372"/>
      <c r="C120" s="393" t="str">
        <f>FinDefBookingsName</f>
        <v>Bookings</v>
      </c>
      <c r="D120" s="372"/>
      <c r="E120" s="373"/>
      <c r="F120" s="373"/>
      <c r="G120" s="373"/>
      <c r="H120" s="373"/>
      <c r="I120" s="373"/>
      <c r="J120" s="373"/>
      <c r="K120" s="373"/>
      <c r="L120" s="373"/>
      <c r="M120" s="373"/>
      <c r="N120" s="373"/>
      <c r="O120" s="372"/>
      <c r="P120" s="372"/>
    </row>
    <row r="121" spans="1:16" ht="16.8">
      <c r="A121" s="372"/>
      <c r="B121" s="372"/>
      <c r="C121" s="372"/>
      <c r="D121" s="372" t="s">
        <v>889</v>
      </c>
      <c r="E121" s="632">
        <f t="shared" ref="E121:N121" si="60">CalcProd2Seg2NewVolume*CalcProd2Seg2Price</f>
        <v>125173256.42250003</v>
      </c>
      <c r="F121" s="632">
        <f t="shared" si="60"/>
        <v>125173256.42250003</v>
      </c>
      <c r="G121" s="632">
        <f t="shared" si="60"/>
        <v>125173256.42250003</v>
      </c>
      <c r="H121" s="632">
        <f t="shared" si="60"/>
        <v>125173256.42250003</v>
      </c>
      <c r="I121" s="632">
        <f t="shared" si="60"/>
        <v>125173256.42250003</v>
      </c>
      <c r="J121" s="632">
        <f t="shared" si="60"/>
        <v>125173256.42250003</v>
      </c>
      <c r="K121" s="632">
        <f t="shared" si="60"/>
        <v>125173256.42250003</v>
      </c>
      <c r="L121" s="632">
        <f t="shared" si="60"/>
        <v>125173256.42250003</v>
      </c>
      <c r="M121" s="632">
        <f t="shared" si="60"/>
        <v>125173256.42250003</v>
      </c>
      <c r="N121" s="632">
        <f t="shared" si="60"/>
        <v>125173256.42250003</v>
      </c>
      <c r="O121" s="372" t="s">
        <v>1920</v>
      </c>
      <c r="P121" s="371"/>
    </row>
    <row r="122" spans="1:16" ht="16.8">
      <c r="A122" s="372"/>
      <c r="B122" s="372"/>
      <c r="C122" s="372"/>
      <c r="D122" s="372" t="s">
        <v>888</v>
      </c>
      <c r="E122" s="632">
        <f t="shared" ref="E122:N122" si="61">CalcProd2Seg2RenewalVolume*CalcProd2Seg2Price</f>
        <v>87703556.029130876</v>
      </c>
      <c r="F122" s="632">
        <f t="shared" si="61"/>
        <v>87703556.029130876</v>
      </c>
      <c r="G122" s="632">
        <f t="shared" si="61"/>
        <v>87703556.029130876</v>
      </c>
      <c r="H122" s="632">
        <f t="shared" si="61"/>
        <v>87703556.029130876</v>
      </c>
      <c r="I122" s="632">
        <f t="shared" si="61"/>
        <v>87703556.029130876</v>
      </c>
      <c r="J122" s="632">
        <f t="shared" si="61"/>
        <v>87703556.029130876</v>
      </c>
      <c r="K122" s="632">
        <f t="shared" si="61"/>
        <v>87703556.029130876</v>
      </c>
      <c r="L122" s="632">
        <f t="shared" si="61"/>
        <v>87703556.029130876</v>
      </c>
      <c r="M122" s="632">
        <f t="shared" si="61"/>
        <v>87703556.029130876</v>
      </c>
      <c r="N122" s="632">
        <f t="shared" si="61"/>
        <v>87703556.029130876</v>
      </c>
      <c r="O122" s="372" t="s">
        <v>1921</v>
      </c>
      <c r="P122" s="371"/>
    </row>
    <row r="123" spans="1:16" s="399" customFormat="1" ht="2.1" customHeight="1">
      <c r="A123" s="402"/>
      <c r="B123" s="304"/>
      <c r="C123" s="372"/>
      <c r="D123" s="401"/>
      <c r="E123" s="633"/>
      <c r="F123" s="634"/>
      <c r="G123" s="634"/>
      <c r="H123" s="634"/>
      <c r="I123" s="635"/>
      <c r="J123" s="633"/>
      <c r="K123" s="634"/>
      <c r="L123" s="634"/>
      <c r="M123" s="634"/>
      <c r="N123" s="635"/>
      <c r="O123" s="725"/>
      <c r="P123" s="400"/>
    </row>
    <row r="124" spans="1:16" ht="16.8">
      <c r="A124" s="372"/>
      <c r="B124" s="372"/>
      <c r="C124" s="372"/>
      <c r="D124" s="372" t="s">
        <v>50</v>
      </c>
      <c r="E124" s="632">
        <f t="shared" ref="E124:N124" si="62">SUM(E121:E122)</f>
        <v>212876812.45163089</v>
      </c>
      <c r="F124" s="632">
        <f t="shared" si="62"/>
        <v>212876812.45163089</v>
      </c>
      <c r="G124" s="632">
        <f t="shared" si="62"/>
        <v>212876812.45163089</v>
      </c>
      <c r="H124" s="632">
        <f t="shared" si="62"/>
        <v>212876812.45163089</v>
      </c>
      <c r="I124" s="632">
        <f t="shared" si="62"/>
        <v>212876812.45163089</v>
      </c>
      <c r="J124" s="632">
        <f t="shared" si="62"/>
        <v>212876812.45163089</v>
      </c>
      <c r="K124" s="632">
        <f t="shared" si="62"/>
        <v>212876812.45163089</v>
      </c>
      <c r="L124" s="632">
        <f t="shared" si="62"/>
        <v>212876812.45163089</v>
      </c>
      <c r="M124" s="632">
        <f t="shared" si="62"/>
        <v>212876812.45163089</v>
      </c>
      <c r="N124" s="632">
        <f t="shared" si="62"/>
        <v>212876812.45163089</v>
      </c>
      <c r="O124" s="372" t="s">
        <v>1922</v>
      </c>
      <c r="P124" s="372"/>
    </row>
    <row r="125" spans="1:16" ht="16.8">
      <c r="A125" s="372"/>
      <c r="B125" s="372"/>
      <c r="C125" s="372"/>
      <c r="D125" s="372"/>
      <c r="E125" s="638"/>
      <c r="F125" s="638"/>
      <c r="G125" s="638"/>
      <c r="H125" s="638"/>
      <c r="I125" s="638"/>
      <c r="J125" s="638"/>
      <c r="K125" s="638"/>
      <c r="L125" s="638"/>
      <c r="M125" s="638"/>
      <c r="N125" s="638"/>
      <c r="O125" s="372"/>
      <c r="P125" s="372"/>
    </row>
    <row r="126" spans="1:16" ht="16.8">
      <c r="A126" s="372"/>
      <c r="B126" s="372"/>
      <c r="C126" s="393" t="s">
        <v>900</v>
      </c>
      <c r="D126" s="372"/>
      <c r="E126" s="638"/>
      <c r="F126" s="638"/>
      <c r="G126" s="638"/>
      <c r="H126" s="638"/>
      <c r="I126" s="638"/>
      <c r="J126" s="638"/>
      <c r="K126" s="638"/>
      <c r="L126" s="638"/>
      <c r="M126" s="638"/>
      <c r="N126" s="638"/>
      <c r="O126" s="372"/>
      <c r="P126" s="372"/>
    </row>
    <row r="127" spans="1:16" ht="16.8">
      <c r="A127" s="372"/>
      <c r="B127" s="372"/>
      <c r="C127" s="372"/>
      <c r="D127" s="372" t="s">
        <v>889</v>
      </c>
      <c r="E127" s="632">
        <f t="shared" ref="E127:N127" si="63">E121*FinDefRecogRate</f>
        <v>62586628.211250015</v>
      </c>
      <c r="F127" s="632">
        <f t="shared" si="63"/>
        <v>62586628.211250015</v>
      </c>
      <c r="G127" s="632">
        <f t="shared" si="63"/>
        <v>62586628.211250015</v>
      </c>
      <c r="H127" s="632">
        <f t="shared" si="63"/>
        <v>62586628.211250015</v>
      </c>
      <c r="I127" s="632">
        <f t="shared" si="63"/>
        <v>62586628.211250015</v>
      </c>
      <c r="J127" s="632">
        <f t="shared" si="63"/>
        <v>62586628.211250015</v>
      </c>
      <c r="K127" s="632">
        <f t="shared" si="63"/>
        <v>62586628.211250015</v>
      </c>
      <c r="L127" s="632">
        <f t="shared" si="63"/>
        <v>62586628.211250015</v>
      </c>
      <c r="M127" s="632">
        <f t="shared" si="63"/>
        <v>62586628.211250015</v>
      </c>
      <c r="N127" s="632">
        <f t="shared" si="63"/>
        <v>62586628.211250015</v>
      </c>
      <c r="O127" s="372" t="s">
        <v>1923</v>
      </c>
      <c r="P127" s="372"/>
    </row>
    <row r="128" spans="1:16" ht="16.8">
      <c r="A128" s="372"/>
      <c r="B128" s="372"/>
      <c r="C128" s="372"/>
      <c r="D128" s="372" t="s">
        <v>888</v>
      </c>
      <c r="E128" s="632">
        <f t="shared" ref="E128:N128" si="64">E122*FinDefRecogRate</f>
        <v>43851778.014565438</v>
      </c>
      <c r="F128" s="632">
        <f t="shared" si="64"/>
        <v>43851778.014565438</v>
      </c>
      <c r="G128" s="632">
        <f t="shared" si="64"/>
        <v>43851778.014565438</v>
      </c>
      <c r="H128" s="632">
        <f t="shared" si="64"/>
        <v>43851778.014565438</v>
      </c>
      <c r="I128" s="632">
        <f t="shared" si="64"/>
        <v>43851778.014565438</v>
      </c>
      <c r="J128" s="632">
        <f t="shared" si="64"/>
        <v>43851778.014565438</v>
      </c>
      <c r="K128" s="632">
        <f t="shared" si="64"/>
        <v>43851778.014565438</v>
      </c>
      <c r="L128" s="632">
        <f t="shared" si="64"/>
        <v>43851778.014565438</v>
      </c>
      <c r="M128" s="632">
        <f t="shared" si="64"/>
        <v>43851778.014565438</v>
      </c>
      <c r="N128" s="632">
        <f t="shared" si="64"/>
        <v>43851778.014565438</v>
      </c>
      <c r="O128" s="372" t="s">
        <v>1924</v>
      </c>
      <c r="P128" s="372"/>
    </row>
    <row r="129" spans="1:16" ht="16.8">
      <c r="A129" s="372"/>
      <c r="B129" s="372"/>
      <c r="C129" s="372"/>
      <c r="D129" s="629" t="s">
        <v>459</v>
      </c>
      <c r="E129" s="632">
        <f t="shared" ref="E129:N129" si="65">calcServicesProd2Seg2TotalRev</f>
        <v>22815000</v>
      </c>
      <c r="F129" s="632">
        <f t="shared" si="65"/>
        <v>22815000</v>
      </c>
      <c r="G129" s="632">
        <f t="shared" si="65"/>
        <v>22815000</v>
      </c>
      <c r="H129" s="632">
        <f t="shared" si="65"/>
        <v>22815000</v>
      </c>
      <c r="I129" s="632">
        <f t="shared" si="65"/>
        <v>22815000</v>
      </c>
      <c r="J129" s="632">
        <f t="shared" si="65"/>
        <v>22815000</v>
      </c>
      <c r="K129" s="632">
        <f t="shared" si="65"/>
        <v>22815000</v>
      </c>
      <c r="L129" s="632">
        <f t="shared" si="65"/>
        <v>22815000</v>
      </c>
      <c r="M129" s="632">
        <f t="shared" si="65"/>
        <v>22815000</v>
      </c>
      <c r="N129" s="632">
        <f t="shared" si="65"/>
        <v>22815000</v>
      </c>
      <c r="O129" s="725" t="s">
        <v>1925</v>
      </c>
      <c r="P129" s="372"/>
    </row>
    <row r="130" spans="1:16" ht="16.8">
      <c r="A130" s="372"/>
      <c r="B130" s="372"/>
      <c r="C130" s="372"/>
      <c r="D130" s="372" t="s">
        <v>899</v>
      </c>
      <c r="E130" s="632">
        <f t="shared" ref="E130:N130" si="66">obalProd2Seg2DefRev*IF(FinDefContractLength=1,0,IF(FinDefContractLength=2,1,IF(FinDefContractLength=3,0.5)))</f>
        <v>63558476.180858158</v>
      </c>
      <c r="F130" s="632">
        <f t="shared" si="66"/>
        <v>63558476.180858158</v>
      </c>
      <c r="G130" s="632">
        <f t="shared" si="66"/>
        <v>63558476.180858158</v>
      </c>
      <c r="H130" s="632">
        <f t="shared" si="66"/>
        <v>63558476.180858158</v>
      </c>
      <c r="I130" s="632">
        <f t="shared" si="66"/>
        <v>63558476.180858158</v>
      </c>
      <c r="J130" s="632">
        <f t="shared" si="66"/>
        <v>63558476.180858158</v>
      </c>
      <c r="K130" s="632">
        <f t="shared" si="66"/>
        <v>63558476.180858158</v>
      </c>
      <c r="L130" s="632">
        <f t="shared" si="66"/>
        <v>63558476.180858158</v>
      </c>
      <c r="M130" s="632">
        <f t="shared" si="66"/>
        <v>63558476.180858158</v>
      </c>
      <c r="N130" s="632">
        <f t="shared" si="66"/>
        <v>63558476.180858158</v>
      </c>
      <c r="O130" s="725" t="s">
        <v>1926</v>
      </c>
      <c r="P130" s="372"/>
    </row>
    <row r="131" spans="1:16" s="399" customFormat="1" ht="2.1" customHeight="1">
      <c r="A131" s="402"/>
      <c r="B131" s="304"/>
      <c r="C131" s="372"/>
      <c r="D131" s="401"/>
      <c r="E131" s="633"/>
      <c r="F131" s="634"/>
      <c r="G131" s="634"/>
      <c r="H131" s="634"/>
      <c r="I131" s="635"/>
      <c r="J131" s="633"/>
      <c r="K131" s="634"/>
      <c r="L131" s="634"/>
      <c r="M131" s="634"/>
      <c r="N131" s="635"/>
      <c r="O131" s="372"/>
      <c r="P131" s="400"/>
    </row>
    <row r="132" spans="1:16" ht="16.8">
      <c r="A132" s="372"/>
      <c r="B132" s="372"/>
      <c r="C132" s="372"/>
      <c r="D132" s="372" t="s">
        <v>50</v>
      </c>
      <c r="E132" s="636">
        <f>SUM(E127:E131)</f>
        <v>192811882.40667361</v>
      </c>
      <c r="F132" s="636">
        <f t="shared" ref="F132:N132" si="67">SUM(F127:F130)</f>
        <v>192811882.40667361</v>
      </c>
      <c r="G132" s="636">
        <f t="shared" si="67"/>
        <v>192811882.40667361</v>
      </c>
      <c r="H132" s="636">
        <f t="shared" si="67"/>
        <v>192811882.40667361</v>
      </c>
      <c r="I132" s="636">
        <f t="shared" si="67"/>
        <v>192811882.40667361</v>
      </c>
      <c r="J132" s="636">
        <f t="shared" si="67"/>
        <v>192811882.40667361</v>
      </c>
      <c r="K132" s="636">
        <f t="shared" si="67"/>
        <v>192811882.40667361</v>
      </c>
      <c r="L132" s="636">
        <f t="shared" si="67"/>
        <v>192811882.40667361</v>
      </c>
      <c r="M132" s="636">
        <f t="shared" si="67"/>
        <v>192811882.40667361</v>
      </c>
      <c r="N132" s="636">
        <f t="shared" si="67"/>
        <v>192811882.40667361</v>
      </c>
      <c r="O132" s="372" t="s">
        <v>1927</v>
      </c>
      <c r="P132" s="372"/>
    </row>
    <row r="133" spans="1:16" ht="16.8">
      <c r="A133" s="372"/>
      <c r="B133" s="372"/>
      <c r="C133" s="372"/>
      <c r="D133" s="372"/>
      <c r="E133" s="638"/>
      <c r="F133" s="638"/>
      <c r="G133" s="638"/>
      <c r="H133" s="638"/>
      <c r="I133" s="638"/>
      <c r="J133" s="638"/>
      <c r="K133" s="638"/>
      <c r="L133" s="638"/>
      <c r="M133" s="638"/>
      <c r="N133" s="638"/>
      <c r="O133" s="372"/>
      <c r="P133" s="372"/>
    </row>
    <row r="134" spans="1:16" ht="16.8">
      <c r="A134" s="372"/>
      <c r="B134" s="372"/>
      <c r="C134" s="393" t="s">
        <v>898</v>
      </c>
      <c r="D134" s="372"/>
      <c r="E134" s="638"/>
      <c r="F134" s="638"/>
      <c r="G134" s="638"/>
      <c r="H134" s="638"/>
      <c r="I134" s="638"/>
      <c r="J134" s="638"/>
      <c r="K134" s="638"/>
      <c r="L134" s="638"/>
      <c r="M134" s="638"/>
      <c r="N134" s="638"/>
      <c r="O134" s="372"/>
      <c r="P134" s="372"/>
    </row>
    <row r="135" spans="1:16" ht="16.8">
      <c r="A135" s="372"/>
      <c r="B135" s="372"/>
      <c r="C135" s="372"/>
      <c r="D135" s="372" t="s">
        <v>889</v>
      </c>
      <c r="E135" s="636">
        <f t="shared" ref="E135:N135" si="68">CalcProd2Seg2NewCOGS</f>
        <v>24582778.267170478</v>
      </c>
      <c r="F135" s="636">
        <f t="shared" si="68"/>
        <v>24582778.267170478</v>
      </c>
      <c r="G135" s="636">
        <f t="shared" si="68"/>
        <v>24582778.267170478</v>
      </c>
      <c r="H135" s="636">
        <f t="shared" si="68"/>
        <v>24582778.267170478</v>
      </c>
      <c r="I135" s="636">
        <f t="shared" si="68"/>
        <v>24582778.267170478</v>
      </c>
      <c r="J135" s="636">
        <f t="shared" si="68"/>
        <v>24582778.267170478</v>
      </c>
      <c r="K135" s="636">
        <f t="shared" si="68"/>
        <v>24582778.267170478</v>
      </c>
      <c r="L135" s="636">
        <f t="shared" si="68"/>
        <v>24582778.267170478</v>
      </c>
      <c r="M135" s="636">
        <f t="shared" si="68"/>
        <v>24582778.267170478</v>
      </c>
      <c r="N135" s="636">
        <f t="shared" si="68"/>
        <v>24582778.267170478</v>
      </c>
      <c r="O135" s="372" t="s">
        <v>1928</v>
      </c>
      <c r="P135" s="371"/>
    </row>
    <row r="136" spans="1:16" ht="16.8">
      <c r="A136" s="372"/>
      <c r="B136" s="372"/>
      <c r="C136" s="372"/>
      <c r="D136" s="372" t="s">
        <v>888</v>
      </c>
      <c r="E136" s="636">
        <f t="shared" ref="E136:N136" si="69">CalcProd2Seg2RenewalCOGS</f>
        <v>15470031.956430117</v>
      </c>
      <c r="F136" s="636">
        <f t="shared" si="69"/>
        <v>15470031.956430117</v>
      </c>
      <c r="G136" s="636">
        <f t="shared" si="69"/>
        <v>15470031.956430117</v>
      </c>
      <c r="H136" s="636">
        <f t="shared" si="69"/>
        <v>15470031.956430117</v>
      </c>
      <c r="I136" s="636">
        <f t="shared" si="69"/>
        <v>15470031.956430117</v>
      </c>
      <c r="J136" s="636">
        <f t="shared" si="69"/>
        <v>15470031.956430117</v>
      </c>
      <c r="K136" s="636">
        <f t="shared" si="69"/>
        <v>15470031.956430117</v>
      </c>
      <c r="L136" s="636">
        <f t="shared" si="69"/>
        <v>15470031.956430117</v>
      </c>
      <c r="M136" s="636">
        <f t="shared" si="69"/>
        <v>15470031.956430117</v>
      </c>
      <c r="N136" s="636">
        <f t="shared" si="69"/>
        <v>15470031.956430117</v>
      </c>
      <c r="O136" s="372" t="s">
        <v>1929</v>
      </c>
      <c r="P136" s="371"/>
    </row>
    <row r="137" spans="1:16" ht="16.8">
      <c r="A137" s="372"/>
      <c r="B137" s="372"/>
      <c r="C137" s="372"/>
      <c r="D137" s="629" t="s">
        <v>459</v>
      </c>
      <c r="E137" s="632">
        <f t="shared" ref="E137:N137" si="70">calcServicesProd2Seg2TotalCOGS</f>
        <v>6844500</v>
      </c>
      <c r="F137" s="632">
        <f t="shared" si="70"/>
        <v>6844500</v>
      </c>
      <c r="G137" s="632">
        <f t="shared" si="70"/>
        <v>6844500</v>
      </c>
      <c r="H137" s="632">
        <f t="shared" si="70"/>
        <v>6844500</v>
      </c>
      <c r="I137" s="632">
        <f t="shared" si="70"/>
        <v>6844500</v>
      </c>
      <c r="J137" s="632">
        <f t="shared" si="70"/>
        <v>6844500</v>
      </c>
      <c r="K137" s="632">
        <f t="shared" si="70"/>
        <v>6844500</v>
      </c>
      <c r="L137" s="632">
        <f t="shared" si="70"/>
        <v>6844500</v>
      </c>
      <c r="M137" s="632">
        <f t="shared" si="70"/>
        <v>6844500</v>
      </c>
      <c r="N137" s="632">
        <f t="shared" si="70"/>
        <v>6844500</v>
      </c>
      <c r="O137" s="725" t="s">
        <v>1930</v>
      </c>
      <c r="P137" s="372"/>
    </row>
    <row r="138" spans="1:16" s="399" customFormat="1" ht="2.1" customHeight="1">
      <c r="A138" s="402"/>
      <c r="B138" s="304"/>
      <c r="C138" s="372"/>
      <c r="D138" s="401"/>
      <c r="E138" s="633"/>
      <c r="F138" s="634"/>
      <c r="G138" s="634"/>
      <c r="H138" s="634"/>
      <c r="I138" s="635"/>
      <c r="J138" s="633"/>
      <c r="K138" s="634"/>
      <c r="L138" s="634"/>
      <c r="M138" s="634"/>
      <c r="N138" s="635"/>
      <c r="O138" s="372"/>
      <c r="P138" s="400"/>
    </row>
    <row r="139" spans="1:16" ht="16.8">
      <c r="A139" s="372"/>
      <c r="B139" s="372"/>
      <c r="C139" s="372"/>
      <c r="D139" s="372" t="s">
        <v>50</v>
      </c>
      <c r="E139" s="636">
        <f t="shared" ref="E139:N139" si="71">SUM(E135:E138)</f>
        <v>46897310.223600596</v>
      </c>
      <c r="F139" s="636">
        <f t="shared" si="71"/>
        <v>46897310.223600596</v>
      </c>
      <c r="G139" s="636">
        <f t="shared" si="71"/>
        <v>46897310.223600596</v>
      </c>
      <c r="H139" s="636">
        <f t="shared" si="71"/>
        <v>46897310.223600596</v>
      </c>
      <c r="I139" s="636">
        <f t="shared" si="71"/>
        <v>46897310.223600596</v>
      </c>
      <c r="J139" s="636">
        <f t="shared" si="71"/>
        <v>46897310.223600596</v>
      </c>
      <c r="K139" s="636">
        <f t="shared" si="71"/>
        <v>46897310.223600596</v>
      </c>
      <c r="L139" s="636">
        <f t="shared" si="71"/>
        <v>46897310.223600596</v>
      </c>
      <c r="M139" s="636">
        <f t="shared" si="71"/>
        <v>46897310.223600596</v>
      </c>
      <c r="N139" s="636">
        <f t="shared" si="71"/>
        <v>46897310.223600596</v>
      </c>
      <c r="O139" s="372" t="s">
        <v>1931</v>
      </c>
      <c r="P139" s="372"/>
    </row>
    <row r="140" spans="1:16" ht="16.8">
      <c r="A140" s="372"/>
      <c r="B140" s="372"/>
      <c r="C140" s="372"/>
      <c r="D140" s="372"/>
      <c r="E140" s="373"/>
      <c r="F140" s="373"/>
      <c r="G140" s="373"/>
      <c r="H140" s="373"/>
      <c r="I140" s="373"/>
      <c r="J140" s="373"/>
      <c r="K140" s="373"/>
      <c r="L140" s="373"/>
      <c r="M140" s="373"/>
      <c r="N140" s="373"/>
      <c r="O140" s="372"/>
      <c r="P140" s="372"/>
    </row>
    <row r="141" spans="1:16" ht="16.8">
      <c r="A141" s="372"/>
      <c r="B141" s="372"/>
      <c r="C141" s="393" t="s">
        <v>206</v>
      </c>
      <c r="D141" s="372"/>
      <c r="E141" s="373"/>
      <c r="F141" s="373"/>
      <c r="G141" s="373"/>
      <c r="H141" s="373"/>
      <c r="I141" s="373"/>
      <c r="J141" s="373"/>
      <c r="K141" s="373"/>
      <c r="L141" s="373"/>
      <c r="M141" s="373"/>
      <c r="N141" s="373"/>
      <c r="O141" s="372"/>
      <c r="P141" s="372"/>
    </row>
    <row r="142" spans="1:16" ht="16.8">
      <c r="A142" s="372"/>
      <c r="B142" s="372"/>
      <c r="C142" s="372"/>
      <c r="D142" s="372" t="s">
        <v>206</v>
      </c>
      <c r="E142" s="636">
        <f t="shared" ref="E142:N142" si="72">finPNLProd2Seg2TotalRev-finPNLProd2Seg2TotalCOGs</f>
        <v>145914572.18307301</v>
      </c>
      <c r="F142" s="636">
        <f t="shared" si="72"/>
        <v>145914572.18307301</v>
      </c>
      <c r="G142" s="636">
        <f t="shared" si="72"/>
        <v>145914572.18307301</v>
      </c>
      <c r="H142" s="636">
        <f t="shared" si="72"/>
        <v>145914572.18307301</v>
      </c>
      <c r="I142" s="636">
        <f t="shared" si="72"/>
        <v>145914572.18307301</v>
      </c>
      <c r="J142" s="636">
        <f t="shared" si="72"/>
        <v>145914572.18307301</v>
      </c>
      <c r="K142" s="636">
        <f t="shared" si="72"/>
        <v>145914572.18307301</v>
      </c>
      <c r="L142" s="636">
        <f t="shared" si="72"/>
        <v>145914572.18307301</v>
      </c>
      <c r="M142" s="636">
        <f t="shared" si="72"/>
        <v>145914572.18307301</v>
      </c>
      <c r="N142" s="636">
        <f t="shared" si="72"/>
        <v>145914572.18307301</v>
      </c>
      <c r="O142" s="372" t="s">
        <v>1932</v>
      </c>
      <c r="P142" s="371"/>
    </row>
    <row r="143" spans="1:16" ht="16.8">
      <c r="A143" s="372"/>
      <c r="B143" s="372"/>
      <c r="C143" s="393"/>
      <c r="D143" s="409" t="s">
        <v>208</v>
      </c>
      <c r="E143" s="407">
        <f t="shared" ref="E143:N143" si="73">E142/finPNLProd2Seg2TotalRev</f>
        <v>0.75677168005296447</v>
      </c>
      <c r="F143" s="407">
        <f t="shared" si="73"/>
        <v>0.75677168005296447</v>
      </c>
      <c r="G143" s="407">
        <f t="shared" si="73"/>
        <v>0.75677168005296447</v>
      </c>
      <c r="H143" s="407">
        <f t="shared" si="73"/>
        <v>0.75677168005296447</v>
      </c>
      <c r="I143" s="407">
        <f t="shared" si="73"/>
        <v>0.75677168005296447</v>
      </c>
      <c r="J143" s="407">
        <f t="shared" si="73"/>
        <v>0.75677168005296447</v>
      </c>
      <c r="K143" s="407">
        <f t="shared" si="73"/>
        <v>0.75677168005296447</v>
      </c>
      <c r="L143" s="407">
        <f t="shared" si="73"/>
        <v>0.75677168005296447</v>
      </c>
      <c r="M143" s="407">
        <f t="shared" si="73"/>
        <v>0.75677168005296447</v>
      </c>
      <c r="N143" s="407">
        <f t="shared" si="73"/>
        <v>0.75677168005296447</v>
      </c>
      <c r="O143" s="372" t="s">
        <v>1933</v>
      </c>
      <c r="P143" s="372"/>
    </row>
    <row r="144" spans="1:16" ht="16.8">
      <c r="A144" s="372"/>
      <c r="B144" s="372"/>
      <c r="C144" s="372"/>
      <c r="D144" s="372"/>
      <c r="E144" s="408"/>
      <c r="F144" s="373"/>
      <c r="G144" s="373"/>
      <c r="H144" s="373"/>
      <c r="I144" s="373"/>
      <c r="J144" s="408"/>
      <c r="K144" s="373"/>
      <c r="L144" s="373"/>
      <c r="M144" s="373"/>
      <c r="N144" s="373"/>
      <c r="O144" s="372"/>
      <c r="P144" s="372"/>
    </row>
    <row r="145" spans="1:16" ht="16.8">
      <c r="A145" s="372"/>
      <c r="B145" s="372"/>
      <c r="C145" s="372"/>
      <c r="D145" s="372"/>
      <c r="E145" s="373"/>
      <c r="F145" s="373"/>
      <c r="G145" s="373"/>
      <c r="H145" s="373"/>
      <c r="I145" s="373"/>
      <c r="J145" s="373"/>
      <c r="K145" s="373"/>
      <c r="L145" s="373"/>
      <c r="M145" s="373"/>
      <c r="N145" s="373"/>
      <c r="O145" s="372"/>
      <c r="P145" s="372"/>
    </row>
    <row r="146" spans="1:16" s="580" customFormat="1" ht="13.8">
      <c r="B146" s="581" t="str">
        <f>nmProd3Seg1</f>
        <v>Personal Computing Enterprise</v>
      </c>
      <c r="C146" s="581"/>
      <c r="D146" s="581"/>
      <c r="E146" s="582"/>
      <c r="F146" s="583"/>
      <c r="G146" s="583"/>
      <c r="H146" s="583"/>
      <c r="I146" s="583"/>
      <c r="J146" s="582"/>
      <c r="K146" s="583"/>
      <c r="L146" s="583"/>
      <c r="M146" s="583"/>
      <c r="N146" s="583"/>
      <c r="O146" s="676"/>
    </row>
    <row r="147" spans="1:16" ht="16.8">
      <c r="A147" s="372"/>
      <c r="B147" s="372"/>
      <c r="C147" s="372"/>
      <c r="D147" s="372"/>
      <c r="E147" s="638"/>
      <c r="F147" s="638"/>
      <c r="G147" s="638"/>
      <c r="H147" s="638"/>
      <c r="I147" s="638"/>
      <c r="J147" s="638"/>
      <c r="K147" s="638"/>
      <c r="L147" s="638"/>
      <c r="M147" s="638"/>
      <c r="N147" s="638"/>
      <c r="O147" s="372"/>
      <c r="P147" s="372"/>
    </row>
    <row r="148" spans="1:16" ht="16.8">
      <c r="A148" s="372"/>
      <c r="B148" s="372"/>
      <c r="C148" s="393" t="s">
        <v>900</v>
      </c>
      <c r="D148" s="372"/>
      <c r="E148" s="638"/>
      <c r="F148" s="638"/>
      <c r="G148" s="638"/>
      <c r="H148" s="638"/>
      <c r="I148" s="638"/>
      <c r="J148" s="638"/>
      <c r="K148" s="638"/>
      <c r="L148" s="638"/>
      <c r="M148" s="638"/>
      <c r="N148" s="638"/>
      <c r="O148" s="372"/>
      <c r="P148" s="372"/>
    </row>
    <row r="149" spans="1:16" ht="16.8">
      <c r="A149" s="372"/>
      <c r="B149" s="372"/>
      <c r="C149" s="372"/>
      <c r="D149" s="372"/>
      <c r="E149" s="638"/>
      <c r="F149" s="638"/>
      <c r="G149" s="638"/>
      <c r="H149" s="638"/>
      <c r="I149" s="638"/>
      <c r="J149" s="638"/>
      <c r="K149" s="638"/>
      <c r="L149" s="638"/>
      <c r="M149" s="638"/>
      <c r="N149" s="638"/>
      <c r="O149" s="372"/>
      <c r="P149" s="372"/>
    </row>
    <row r="150" spans="1:16" ht="16.8">
      <c r="A150" s="372"/>
      <c r="B150" s="372"/>
      <c r="C150" s="372"/>
      <c r="D150" s="372" t="s">
        <v>50</v>
      </c>
      <c r="E150" s="636">
        <f t="shared" ref="E150:N150" si="74">calcProd3Seg1Revenue</f>
        <v>117995011.20000002</v>
      </c>
      <c r="F150" s="636">
        <f t="shared" si="74"/>
        <v>117995011.20000002</v>
      </c>
      <c r="G150" s="636">
        <f t="shared" si="74"/>
        <v>117995011.20000002</v>
      </c>
      <c r="H150" s="636">
        <f t="shared" si="74"/>
        <v>117995011.20000002</v>
      </c>
      <c r="I150" s="636">
        <f t="shared" si="74"/>
        <v>117995011.20000002</v>
      </c>
      <c r="J150" s="636">
        <f t="shared" si="74"/>
        <v>117995011.20000002</v>
      </c>
      <c r="K150" s="636">
        <f t="shared" si="74"/>
        <v>117995011.20000002</v>
      </c>
      <c r="L150" s="636">
        <f t="shared" si="74"/>
        <v>117995011.20000002</v>
      </c>
      <c r="M150" s="636">
        <f t="shared" si="74"/>
        <v>117995011.20000002</v>
      </c>
      <c r="N150" s="636">
        <f t="shared" si="74"/>
        <v>117995011.20000002</v>
      </c>
      <c r="O150" s="372" t="s">
        <v>1934</v>
      </c>
      <c r="P150" s="372"/>
    </row>
    <row r="151" spans="1:16" ht="16.8">
      <c r="A151" s="372"/>
      <c r="B151" s="372"/>
      <c r="C151" s="372"/>
      <c r="D151" s="372"/>
      <c r="E151" s="638"/>
      <c r="F151" s="638"/>
      <c r="G151" s="638"/>
      <c r="H151" s="638"/>
      <c r="I151" s="638"/>
      <c r="J151" s="638"/>
      <c r="K151" s="638"/>
      <c r="L151" s="638"/>
      <c r="M151" s="638"/>
      <c r="N151" s="638"/>
      <c r="O151" s="372"/>
      <c r="P151" s="372"/>
    </row>
    <row r="152" spans="1:16" ht="16.8">
      <c r="A152" s="372"/>
      <c r="B152" s="372"/>
      <c r="C152" s="393" t="s">
        <v>898</v>
      </c>
      <c r="D152" s="372"/>
      <c r="E152" s="638"/>
      <c r="F152" s="638"/>
      <c r="G152" s="638"/>
      <c r="H152" s="638"/>
      <c r="I152" s="638"/>
      <c r="J152" s="638"/>
      <c r="K152" s="638"/>
      <c r="L152" s="638"/>
      <c r="M152" s="638"/>
      <c r="N152" s="638"/>
      <c r="O152" s="372"/>
      <c r="P152" s="372"/>
    </row>
    <row r="153" spans="1:16" ht="16.8">
      <c r="A153" s="372"/>
      <c r="B153" s="372"/>
      <c r="C153" s="372"/>
      <c r="D153" s="629" t="s">
        <v>1542</v>
      </c>
      <c r="E153" s="636">
        <f t="shared" ref="E153:N153" si="75">calcProd3Seg1MatExp</f>
        <v>35398503.359999999</v>
      </c>
      <c r="F153" s="636">
        <f t="shared" si="75"/>
        <v>35398503.359999999</v>
      </c>
      <c r="G153" s="636">
        <f t="shared" si="75"/>
        <v>35398503.359999999</v>
      </c>
      <c r="H153" s="636">
        <f t="shared" si="75"/>
        <v>35398503.359999999</v>
      </c>
      <c r="I153" s="636">
        <f t="shared" si="75"/>
        <v>35398503.359999999</v>
      </c>
      <c r="J153" s="636">
        <f t="shared" si="75"/>
        <v>35398503.359999999</v>
      </c>
      <c r="K153" s="636">
        <f t="shared" si="75"/>
        <v>35398503.359999999</v>
      </c>
      <c r="L153" s="636">
        <f t="shared" si="75"/>
        <v>35398503.359999999</v>
      </c>
      <c r="M153" s="636">
        <f t="shared" si="75"/>
        <v>35398503.359999999</v>
      </c>
      <c r="N153" s="636">
        <f t="shared" si="75"/>
        <v>35398503.359999999</v>
      </c>
      <c r="O153" s="372" t="s">
        <v>1935</v>
      </c>
      <c r="P153" s="371"/>
    </row>
    <row r="154" spans="1:16" ht="16.8">
      <c r="A154" s="372"/>
      <c r="B154" s="372"/>
      <c r="C154" s="372"/>
      <c r="D154" s="629" t="s">
        <v>1541</v>
      </c>
      <c r="E154" s="636">
        <f t="shared" ref="E154:N154" si="76">calcProd3Seg1LaborExp</f>
        <v>29498752.800000004</v>
      </c>
      <c r="F154" s="636">
        <f t="shared" si="76"/>
        <v>29498752.800000004</v>
      </c>
      <c r="G154" s="636">
        <f t="shared" si="76"/>
        <v>29498752.800000004</v>
      </c>
      <c r="H154" s="636">
        <f t="shared" si="76"/>
        <v>29498752.800000004</v>
      </c>
      <c r="I154" s="636">
        <f t="shared" si="76"/>
        <v>29498752.800000004</v>
      </c>
      <c r="J154" s="636">
        <f t="shared" si="76"/>
        <v>29498752.800000004</v>
      </c>
      <c r="K154" s="636">
        <f t="shared" si="76"/>
        <v>29498752.800000004</v>
      </c>
      <c r="L154" s="636">
        <f t="shared" si="76"/>
        <v>29498752.800000004</v>
      </c>
      <c r="M154" s="636">
        <f t="shared" si="76"/>
        <v>29498752.800000004</v>
      </c>
      <c r="N154" s="636">
        <f t="shared" si="76"/>
        <v>29498752.800000004</v>
      </c>
      <c r="O154" s="372" t="s">
        <v>1936</v>
      </c>
      <c r="P154" s="371"/>
    </row>
    <row r="155" spans="1:16" s="399" customFormat="1" ht="2.1" customHeight="1">
      <c r="A155" s="402"/>
      <c r="B155" s="304"/>
      <c r="C155" s="372"/>
      <c r="D155" s="401"/>
      <c r="E155" s="633"/>
      <c r="F155" s="634"/>
      <c r="G155" s="634"/>
      <c r="H155" s="634"/>
      <c r="I155" s="635"/>
      <c r="J155" s="633"/>
      <c r="K155" s="634"/>
      <c r="L155" s="634"/>
      <c r="M155" s="634"/>
      <c r="N155" s="635"/>
      <c r="O155" s="372"/>
      <c r="P155" s="400"/>
    </row>
    <row r="156" spans="1:16" ht="16.8">
      <c r="A156" s="372"/>
      <c r="B156" s="372"/>
      <c r="C156" s="372"/>
      <c r="D156" s="372" t="s">
        <v>50</v>
      </c>
      <c r="E156" s="636">
        <f t="shared" ref="E156:N156" si="77">SUM(E153:E155)</f>
        <v>64897256.160000004</v>
      </c>
      <c r="F156" s="636">
        <f t="shared" si="77"/>
        <v>64897256.160000004</v>
      </c>
      <c r="G156" s="636">
        <f t="shared" si="77"/>
        <v>64897256.160000004</v>
      </c>
      <c r="H156" s="636">
        <f t="shared" si="77"/>
        <v>64897256.160000004</v>
      </c>
      <c r="I156" s="636">
        <f t="shared" si="77"/>
        <v>64897256.160000004</v>
      </c>
      <c r="J156" s="636">
        <f t="shared" si="77"/>
        <v>64897256.160000004</v>
      </c>
      <c r="K156" s="636">
        <f t="shared" si="77"/>
        <v>64897256.160000004</v>
      </c>
      <c r="L156" s="636">
        <f t="shared" si="77"/>
        <v>64897256.160000004</v>
      </c>
      <c r="M156" s="636">
        <f t="shared" si="77"/>
        <v>64897256.160000004</v>
      </c>
      <c r="N156" s="636">
        <f t="shared" si="77"/>
        <v>64897256.160000004</v>
      </c>
      <c r="O156" s="372" t="s">
        <v>1937</v>
      </c>
      <c r="P156" s="372"/>
    </row>
    <row r="157" spans="1:16" ht="16.8">
      <c r="A157" s="372"/>
      <c r="B157" s="372"/>
      <c r="C157" s="372"/>
      <c r="D157" s="372"/>
      <c r="E157" s="373"/>
      <c r="F157" s="373"/>
      <c r="G157" s="373"/>
      <c r="H157" s="373"/>
      <c r="I157" s="373"/>
      <c r="J157" s="373"/>
      <c r="K157" s="373"/>
      <c r="L157" s="373"/>
      <c r="M157" s="373"/>
      <c r="N157" s="373"/>
      <c r="O157" s="372"/>
      <c r="P157" s="372"/>
    </row>
    <row r="158" spans="1:16" ht="16.8">
      <c r="A158" s="372"/>
      <c r="B158" s="372"/>
      <c r="C158" s="393" t="s">
        <v>206</v>
      </c>
      <c r="D158" s="372"/>
      <c r="E158" s="373"/>
      <c r="F158" s="373"/>
      <c r="G158" s="373"/>
      <c r="H158" s="373"/>
      <c r="I158" s="373"/>
      <c r="J158" s="373"/>
      <c r="K158" s="373"/>
      <c r="L158" s="373"/>
      <c r="M158" s="373"/>
      <c r="N158" s="373"/>
      <c r="O158" s="372"/>
      <c r="P158" s="372"/>
    </row>
    <row r="159" spans="1:16" ht="16.8">
      <c r="A159" s="372"/>
      <c r="B159" s="372"/>
      <c r="C159" s="372"/>
      <c r="D159" s="372" t="s">
        <v>206</v>
      </c>
      <c r="E159" s="636">
        <f t="shared" ref="E159:N159" si="78">finPNLProd3Seg1TotalRev-finPNLProd3Seg1TotalCOGs</f>
        <v>53097755.040000014</v>
      </c>
      <c r="F159" s="636">
        <f t="shared" si="78"/>
        <v>53097755.040000014</v>
      </c>
      <c r="G159" s="636">
        <f t="shared" si="78"/>
        <v>53097755.040000014</v>
      </c>
      <c r="H159" s="636">
        <f t="shared" si="78"/>
        <v>53097755.040000014</v>
      </c>
      <c r="I159" s="636">
        <f t="shared" si="78"/>
        <v>53097755.040000014</v>
      </c>
      <c r="J159" s="636">
        <f t="shared" si="78"/>
        <v>53097755.040000014</v>
      </c>
      <c r="K159" s="636">
        <f t="shared" si="78"/>
        <v>53097755.040000014</v>
      </c>
      <c r="L159" s="636">
        <f t="shared" si="78"/>
        <v>53097755.040000014</v>
      </c>
      <c r="M159" s="636">
        <f t="shared" si="78"/>
        <v>53097755.040000014</v>
      </c>
      <c r="N159" s="636">
        <f t="shared" si="78"/>
        <v>53097755.040000014</v>
      </c>
      <c r="O159" s="372" t="s">
        <v>1938</v>
      </c>
      <c r="P159" s="371"/>
    </row>
    <row r="160" spans="1:16" ht="16.8">
      <c r="A160" s="372"/>
      <c r="B160" s="372"/>
      <c r="C160" s="393"/>
      <c r="D160" s="409" t="s">
        <v>208</v>
      </c>
      <c r="E160" s="407">
        <f t="shared" ref="E160:N160" si="79">E159/finPNLProd3Seg1TotalRev</f>
        <v>0.45000000000000007</v>
      </c>
      <c r="F160" s="407">
        <f t="shared" si="79"/>
        <v>0.45000000000000007</v>
      </c>
      <c r="G160" s="407">
        <f t="shared" si="79"/>
        <v>0.45000000000000007</v>
      </c>
      <c r="H160" s="407">
        <f t="shared" si="79"/>
        <v>0.45000000000000007</v>
      </c>
      <c r="I160" s="407">
        <f t="shared" si="79"/>
        <v>0.45000000000000007</v>
      </c>
      <c r="J160" s="407">
        <f t="shared" si="79"/>
        <v>0.45000000000000007</v>
      </c>
      <c r="K160" s="407">
        <f t="shared" si="79"/>
        <v>0.45000000000000007</v>
      </c>
      <c r="L160" s="407">
        <f t="shared" si="79"/>
        <v>0.45000000000000007</v>
      </c>
      <c r="M160" s="407">
        <f t="shared" si="79"/>
        <v>0.45000000000000007</v>
      </c>
      <c r="N160" s="407">
        <f t="shared" si="79"/>
        <v>0.45000000000000007</v>
      </c>
      <c r="O160" s="372" t="s">
        <v>1939</v>
      </c>
      <c r="P160" s="372"/>
    </row>
    <row r="161" spans="1:16" ht="16.8">
      <c r="A161" s="372"/>
      <c r="B161" s="372"/>
      <c r="C161" s="372"/>
      <c r="D161" s="372"/>
      <c r="E161" s="408"/>
      <c r="F161" s="373"/>
      <c r="G161" s="373"/>
      <c r="H161" s="373"/>
      <c r="I161" s="373"/>
      <c r="J161" s="408"/>
      <c r="K161" s="373"/>
      <c r="L161" s="373"/>
      <c r="M161" s="373"/>
      <c r="N161" s="373"/>
      <c r="O161" s="372"/>
      <c r="P161" s="372"/>
    </row>
    <row r="162" spans="1:16" ht="16.8">
      <c r="A162" s="372"/>
      <c r="B162" s="372"/>
      <c r="C162" s="372"/>
      <c r="D162" s="372"/>
      <c r="E162" s="373"/>
      <c r="F162" s="373"/>
      <c r="G162" s="373"/>
      <c r="H162" s="373"/>
      <c r="I162" s="373"/>
      <c r="J162" s="373"/>
      <c r="K162" s="373"/>
      <c r="L162" s="373"/>
      <c r="M162" s="373"/>
      <c r="N162" s="373"/>
      <c r="O162" s="372"/>
      <c r="P162" s="372"/>
    </row>
    <row r="163" spans="1:16" s="580" customFormat="1" ht="13.8">
      <c r="B163" s="581" t="str">
        <f>nmProd3Seg2</f>
        <v>Personal Computing SMC</v>
      </c>
      <c r="C163" s="581"/>
      <c r="D163" s="581"/>
      <c r="E163" s="582"/>
      <c r="F163" s="583"/>
      <c r="G163" s="583"/>
      <c r="H163" s="583"/>
      <c r="I163" s="583"/>
      <c r="J163" s="582"/>
      <c r="K163" s="583"/>
      <c r="L163" s="583"/>
      <c r="M163" s="583"/>
      <c r="N163" s="583"/>
      <c r="O163" s="676"/>
    </row>
    <row r="164" spans="1:16" ht="16.8">
      <c r="A164" s="372"/>
      <c r="B164" s="372"/>
      <c r="C164" s="372"/>
      <c r="D164" s="372"/>
      <c r="E164" s="638"/>
      <c r="F164" s="638"/>
      <c r="G164" s="638"/>
      <c r="H164" s="638"/>
      <c r="I164" s="638"/>
      <c r="J164" s="638"/>
      <c r="K164" s="638"/>
      <c r="L164" s="638"/>
      <c r="M164" s="638"/>
      <c r="N164" s="638"/>
      <c r="O164" s="372"/>
      <c r="P164" s="372"/>
    </row>
    <row r="165" spans="1:16" ht="16.8">
      <c r="A165" s="372"/>
      <c r="B165" s="372"/>
      <c r="C165" s="393" t="s">
        <v>900</v>
      </c>
      <c r="D165" s="372"/>
      <c r="E165" s="638"/>
      <c r="F165" s="638"/>
      <c r="G165" s="638"/>
      <c r="H165" s="638"/>
      <c r="I165" s="638"/>
      <c r="J165" s="638"/>
      <c r="K165" s="638"/>
      <c r="L165" s="638"/>
      <c r="M165" s="638"/>
      <c r="N165" s="638"/>
      <c r="O165" s="372"/>
      <c r="P165" s="372"/>
    </row>
    <row r="166" spans="1:16" ht="16.8">
      <c r="A166" s="372"/>
      <c r="B166" s="372"/>
      <c r="C166" s="372"/>
      <c r="D166" s="372"/>
      <c r="E166" s="638"/>
      <c r="F166" s="638"/>
      <c r="G166" s="638"/>
      <c r="H166" s="638"/>
      <c r="I166" s="638"/>
      <c r="J166" s="638"/>
      <c r="K166" s="638"/>
      <c r="L166" s="638"/>
      <c r="M166" s="638"/>
      <c r="N166" s="638"/>
      <c r="O166" s="372"/>
      <c r="P166" s="372"/>
    </row>
    <row r="167" spans="1:16" ht="16.8">
      <c r="A167" s="372"/>
      <c r="B167" s="372"/>
      <c r="C167" s="372"/>
      <c r="D167" s="372" t="s">
        <v>50</v>
      </c>
      <c r="E167" s="636">
        <f t="shared" ref="E167:N167" si="80">calcProd3Seg2Revenue</f>
        <v>98329017.600000024</v>
      </c>
      <c r="F167" s="636">
        <f t="shared" si="80"/>
        <v>98329017.600000024</v>
      </c>
      <c r="G167" s="636">
        <f t="shared" si="80"/>
        <v>98329017.600000024</v>
      </c>
      <c r="H167" s="636">
        <f t="shared" si="80"/>
        <v>98329017.600000024</v>
      </c>
      <c r="I167" s="636">
        <f t="shared" si="80"/>
        <v>98329017.600000024</v>
      </c>
      <c r="J167" s="636">
        <f t="shared" si="80"/>
        <v>98329017.600000024</v>
      </c>
      <c r="K167" s="636">
        <f t="shared" si="80"/>
        <v>98329017.600000024</v>
      </c>
      <c r="L167" s="636">
        <f t="shared" si="80"/>
        <v>98329017.600000024</v>
      </c>
      <c r="M167" s="636">
        <f t="shared" si="80"/>
        <v>98329017.600000024</v>
      </c>
      <c r="N167" s="636">
        <f t="shared" si="80"/>
        <v>98329017.600000024</v>
      </c>
      <c r="O167" s="372" t="s">
        <v>1940</v>
      </c>
      <c r="P167" s="372"/>
    </row>
    <row r="168" spans="1:16" ht="16.8">
      <c r="A168" s="372"/>
      <c r="B168" s="372"/>
      <c r="C168" s="372"/>
      <c r="D168" s="372"/>
      <c r="E168" s="638"/>
      <c r="F168" s="638"/>
      <c r="G168" s="638"/>
      <c r="H168" s="638"/>
      <c r="I168" s="638"/>
      <c r="J168" s="638"/>
      <c r="K168" s="638"/>
      <c r="L168" s="638"/>
      <c r="M168" s="638"/>
      <c r="N168" s="638"/>
      <c r="O168" s="372"/>
      <c r="P168" s="372"/>
    </row>
    <row r="169" spans="1:16" ht="16.8">
      <c r="A169" s="372"/>
      <c r="B169" s="372"/>
      <c r="C169" s="393" t="s">
        <v>898</v>
      </c>
      <c r="D169" s="372"/>
      <c r="E169" s="638"/>
      <c r="F169" s="638"/>
      <c r="G169" s="638"/>
      <c r="H169" s="638"/>
      <c r="I169" s="638"/>
      <c r="J169" s="638"/>
      <c r="K169" s="638"/>
      <c r="L169" s="638"/>
      <c r="M169" s="638"/>
      <c r="N169" s="638"/>
      <c r="O169" s="372"/>
      <c r="P169" s="372"/>
    </row>
    <row r="170" spans="1:16" ht="16.8">
      <c r="A170" s="372"/>
      <c r="B170" s="372"/>
      <c r="C170" s="372"/>
      <c r="D170" s="629" t="s">
        <v>1542</v>
      </c>
      <c r="E170" s="636">
        <f t="shared" ref="E170:N170" si="81">calcProd3Seg2MatExp</f>
        <v>29498705.280000005</v>
      </c>
      <c r="F170" s="636">
        <f t="shared" si="81"/>
        <v>29498705.280000005</v>
      </c>
      <c r="G170" s="636">
        <f t="shared" si="81"/>
        <v>29498705.280000005</v>
      </c>
      <c r="H170" s="636">
        <f t="shared" si="81"/>
        <v>29498705.280000005</v>
      </c>
      <c r="I170" s="636">
        <f t="shared" si="81"/>
        <v>29498705.280000005</v>
      </c>
      <c r="J170" s="636">
        <f t="shared" si="81"/>
        <v>29498705.280000005</v>
      </c>
      <c r="K170" s="636">
        <f t="shared" si="81"/>
        <v>29498705.280000005</v>
      </c>
      <c r="L170" s="636">
        <f t="shared" si="81"/>
        <v>29498705.280000005</v>
      </c>
      <c r="M170" s="636">
        <f t="shared" si="81"/>
        <v>29498705.280000005</v>
      </c>
      <c r="N170" s="636">
        <f t="shared" si="81"/>
        <v>29498705.280000005</v>
      </c>
      <c r="O170" s="372" t="s">
        <v>1941</v>
      </c>
      <c r="P170" s="371"/>
    </row>
    <row r="171" spans="1:16" ht="16.8">
      <c r="A171" s="372"/>
      <c r="B171" s="372"/>
      <c r="C171" s="372"/>
      <c r="D171" s="629" t="s">
        <v>1541</v>
      </c>
      <c r="E171" s="636">
        <f t="shared" ref="E171:N171" si="82">calcProd3Seg2LaborExp</f>
        <v>24582254.400000006</v>
      </c>
      <c r="F171" s="636">
        <f t="shared" si="82"/>
        <v>24582254.400000006</v>
      </c>
      <c r="G171" s="636">
        <f t="shared" si="82"/>
        <v>24582254.400000006</v>
      </c>
      <c r="H171" s="636">
        <f t="shared" si="82"/>
        <v>24582254.400000006</v>
      </c>
      <c r="I171" s="636">
        <f t="shared" si="82"/>
        <v>24582254.400000006</v>
      </c>
      <c r="J171" s="636">
        <f t="shared" si="82"/>
        <v>24582254.400000006</v>
      </c>
      <c r="K171" s="636">
        <f t="shared" si="82"/>
        <v>24582254.400000006</v>
      </c>
      <c r="L171" s="636">
        <f t="shared" si="82"/>
        <v>24582254.400000006</v>
      </c>
      <c r="M171" s="636">
        <f t="shared" si="82"/>
        <v>24582254.400000006</v>
      </c>
      <c r="N171" s="636">
        <f t="shared" si="82"/>
        <v>24582254.400000006</v>
      </c>
      <c r="O171" s="372" t="s">
        <v>1942</v>
      </c>
      <c r="P171" s="371"/>
    </row>
    <row r="172" spans="1:16" s="399" customFormat="1" ht="2.1" customHeight="1">
      <c r="A172" s="402"/>
      <c r="B172" s="304"/>
      <c r="C172" s="372"/>
      <c r="D172" s="401"/>
      <c r="E172" s="633"/>
      <c r="F172" s="634"/>
      <c r="G172" s="634"/>
      <c r="H172" s="634"/>
      <c r="I172" s="635"/>
      <c r="J172" s="633"/>
      <c r="K172" s="634"/>
      <c r="L172" s="634"/>
      <c r="M172" s="634"/>
      <c r="N172" s="635"/>
      <c r="O172" s="372"/>
      <c r="P172" s="400"/>
    </row>
    <row r="173" spans="1:16" ht="16.8">
      <c r="A173" s="372"/>
      <c r="B173" s="372"/>
      <c r="C173" s="372"/>
      <c r="D173" s="372" t="s">
        <v>50</v>
      </c>
      <c r="E173" s="636">
        <f t="shared" ref="E173:N173" si="83">SUM(E170:E172)</f>
        <v>54080959.680000007</v>
      </c>
      <c r="F173" s="636">
        <f t="shared" si="83"/>
        <v>54080959.680000007</v>
      </c>
      <c r="G173" s="636">
        <f t="shared" si="83"/>
        <v>54080959.680000007</v>
      </c>
      <c r="H173" s="636">
        <f t="shared" si="83"/>
        <v>54080959.680000007</v>
      </c>
      <c r="I173" s="636">
        <f t="shared" si="83"/>
        <v>54080959.680000007</v>
      </c>
      <c r="J173" s="636">
        <f t="shared" si="83"/>
        <v>54080959.680000007</v>
      </c>
      <c r="K173" s="636">
        <f t="shared" si="83"/>
        <v>54080959.680000007</v>
      </c>
      <c r="L173" s="636">
        <f t="shared" si="83"/>
        <v>54080959.680000007</v>
      </c>
      <c r="M173" s="636">
        <f t="shared" si="83"/>
        <v>54080959.680000007</v>
      </c>
      <c r="N173" s="636">
        <f t="shared" si="83"/>
        <v>54080959.680000007</v>
      </c>
      <c r="O173" s="372" t="s">
        <v>1943</v>
      </c>
      <c r="P173" s="372"/>
    </row>
    <row r="174" spans="1:16" ht="16.8">
      <c r="A174" s="372"/>
      <c r="B174" s="372"/>
      <c r="C174" s="372"/>
      <c r="D174" s="372"/>
      <c r="E174" s="373"/>
      <c r="F174" s="373"/>
      <c r="G174" s="373"/>
      <c r="H174" s="373"/>
      <c r="I174" s="373"/>
      <c r="J174" s="373"/>
      <c r="K174" s="373"/>
      <c r="L174" s="373"/>
      <c r="M174" s="373"/>
      <c r="N174" s="373"/>
      <c r="O174" s="372"/>
      <c r="P174" s="372"/>
    </row>
    <row r="175" spans="1:16" ht="16.8">
      <c r="A175" s="372"/>
      <c r="B175" s="372"/>
      <c r="C175" s="393" t="s">
        <v>206</v>
      </c>
      <c r="D175" s="372"/>
      <c r="E175" s="373"/>
      <c r="F175" s="373"/>
      <c r="G175" s="373"/>
      <c r="H175" s="373"/>
      <c r="I175" s="373"/>
      <c r="J175" s="373"/>
      <c r="K175" s="373"/>
      <c r="L175" s="373"/>
      <c r="M175" s="373"/>
      <c r="N175" s="373"/>
      <c r="O175" s="372"/>
      <c r="P175" s="372"/>
    </row>
    <row r="176" spans="1:16" ht="16.8">
      <c r="A176" s="372"/>
      <c r="B176" s="372"/>
      <c r="C176" s="372"/>
      <c r="D176" s="372" t="s">
        <v>206</v>
      </c>
      <c r="E176" s="636">
        <f t="shared" ref="E176:N176" si="84">finPNLProd3Seg2TotalRev-finPNLProd3Seg2TotalCOGs</f>
        <v>44248057.920000017</v>
      </c>
      <c r="F176" s="636">
        <f t="shared" si="84"/>
        <v>44248057.920000017</v>
      </c>
      <c r="G176" s="636">
        <f t="shared" si="84"/>
        <v>44248057.920000017</v>
      </c>
      <c r="H176" s="636">
        <f t="shared" si="84"/>
        <v>44248057.920000017</v>
      </c>
      <c r="I176" s="636">
        <f t="shared" si="84"/>
        <v>44248057.920000017</v>
      </c>
      <c r="J176" s="636">
        <f t="shared" si="84"/>
        <v>44248057.920000017</v>
      </c>
      <c r="K176" s="636">
        <f t="shared" si="84"/>
        <v>44248057.920000017</v>
      </c>
      <c r="L176" s="636">
        <f t="shared" si="84"/>
        <v>44248057.920000017</v>
      </c>
      <c r="M176" s="636">
        <f t="shared" si="84"/>
        <v>44248057.920000017</v>
      </c>
      <c r="N176" s="636">
        <f t="shared" si="84"/>
        <v>44248057.920000017</v>
      </c>
      <c r="O176" s="372" t="s">
        <v>1944</v>
      </c>
      <c r="P176" s="371"/>
    </row>
    <row r="177" spans="1:16" ht="16.8">
      <c r="A177" s="372"/>
      <c r="B177" s="372"/>
      <c r="C177" s="393"/>
      <c r="D177" s="409" t="s">
        <v>208</v>
      </c>
      <c r="E177" s="407">
        <f t="shared" ref="E177:N177" si="85">E176/finPNLProd3Seg2TotalRev</f>
        <v>0.45000000000000007</v>
      </c>
      <c r="F177" s="407">
        <f t="shared" si="85"/>
        <v>0.45000000000000007</v>
      </c>
      <c r="G177" s="407">
        <f t="shared" si="85"/>
        <v>0.45000000000000007</v>
      </c>
      <c r="H177" s="407">
        <f t="shared" si="85"/>
        <v>0.45000000000000007</v>
      </c>
      <c r="I177" s="407">
        <f t="shared" si="85"/>
        <v>0.45000000000000007</v>
      </c>
      <c r="J177" s="407">
        <f t="shared" si="85"/>
        <v>0.45000000000000007</v>
      </c>
      <c r="K177" s="407">
        <f t="shared" si="85"/>
        <v>0.45000000000000007</v>
      </c>
      <c r="L177" s="407">
        <f t="shared" si="85"/>
        <v>0.45000000000000007</v>
      </c>
      <c r="M177" s="407">
        <f t="shared" si="85"/>
        <v>0.45000000000000007</v>
      </c>
      <c r="N177" s="407">
        <f t="shared" si="85"/>
        <v>0.45000000000000007</v>
      </c>
      <c r="O177" s="372" t="s">
        <v>1945</v>
      </c>
      <c r="P177" s="372"/>
    </row>
    <row r="178" spans="1:16" ht="16.8">
      <c r="A178" s="372"/>
      <c r="B178" s="372"/>
      <c r="C178" s="372"/>
      <c r="D178" s="372"/>
      <c r="E178" s="408"/>
      <c r="F178" s="373"/>
      <c r="G178" s="373"/>
      <c r="H178" s="373"/>
      <c r="I178" s="373"/>
      <c r="J178" s="408"/>
      <c r="K178" s="373"/>
      <c r="L178" s="373"/>
      <c r="M178" s="373"/>
      <c r="N178" s="373"/>
      <c r="O178" s="372"/>
      <c r="P178" s="372"/>
    </row>
    <row r="179" spans="1:16" ht="16.8">
      <c r="A179" s="372"/>
      <c r="B179" s="372"/>
      <c r="C179" s="372"/>
      <c r="D179" s="372"/>
      <c r="E179" s="373"/>
      <c r="F179" s="373"/>
      <c r="G179" s="373"/>
      <c r="H179" s="373"/>
      <c r="I179" s="373"/>
      <c r="J179" s="373"/>
      <c r="K179" s="373"/>
      <c r="L179" s="373"/>
      <c r="M179" s="373"/>
      <c r="N179" s="373"/>
      <c r="O179" s="372"/>
      <c r="P179" s="372"/>
    </row>
    <row r="180" spans="1:16" s="580" customFormat="1" ht="13.8">
      <c r="B180" s="581" t="str">
        <f>nmProd3Seg3</f>
        <v>Personal Computing Consumer</v>
      </c>
      <c r="C180" s="581"/>
      <c r="D180" s="581"/>
      <c r="E180" s="582"/>
      <c r="F180" s="583"/>
      <c r="G180" s="583"/>
      <c r="H180" s="583"/>
      <c r="I180" s="583"/>
      <c r="J180" s="582"/>
      <c r="K180" s="583"/>
      <c r="L180" s="583"/>
      <c r="M180" s="583"/>
      <c r="N180" s="583"/>
      <c r="O180" s="676"/>
    </row>
    <row r="181" spans="1:16" ht="16.8">
      <c r="A181" s="372"/>
      <c r="B181" s="372"/>
      <c r="C181" s="372"/>
      <c r="D181" s="372"/>
      <c r="E181" s="638"/>
      <c r="F181" s="638"/>
      <c r="G181" s="638"/>
      <c r="H181" s="638"/>
      <c r="I181" s="638"/>
      <c r="J181" s="638"/>
      <c r="K181" s="638"/>
      <c r="L181" s="638"/>
      <c r="M181" s="638"/>
      <c r="N181" s="638"/>
      <c r="O181" s="372"/>
      <c r="P181" s="372"/>
    </row>
    <row r="182" spans="1:16" ht="16.8">
      <c r="A182" s="372"/>
      <c r="B182" s="372"/>
      <c r="C182" s="393" t="s">
        <v>900</v>
      </c>
      <c r="D182" s="372"/>
      <c r="E182" s="638"/>
      <c r="F182" s="638"/>
      <c r="G182" s="638"/>
      <c r="H182" s="638"/>
      <c r="I182" s="638"/>
      <c r="J182" s="638"/>
      <c r="K182" s="638"/>
      <c r="L182" s="638"/>
      <c r="M182" s="638"/>
      <c r="N182" s="638"/>
      <c r="O182" s="372"/>
      <c r="P182" s="372"/>
    </row>
    <row r="183" spans="1:16" ht="16.8">
      <c r="A183" s="372"/>
      <c r="B183" s="372"/>
      <c r="C183" s="372"/>
      <c r="D183" s="372"/>
      <c r="E183" s="638"/>
      <c r="F183" s="638"/>
      <c r="G183" s="638"/>
      <c r="H183" s="638"/>
      <c r="I183" s="638"/>
      <c r="J183" s="638"/>
      <c r="K183" s="638"/>
      <c r="L183" s="638"/>
      <c r="M183" s="638"/>
      <c r="N183" s="638"/>
      <c r="O183" s="372"/>
      <c r="P183" s="372"/>
    </row>
    <row r="184" spans="1:16" ht="16.8">
      <c r="A184" s="372"/>
      <c r="B184" s="372"/>
      <c r="C184" s="372"/>
      <c r="D184" s="372" t="s">
        <v>50</v>
      </c>
      <c r="E184" s="636">
        <f t="shared" ref="E184:N184" si="86">calcProd3Seg3Revenue+paramChallengeProd3Seg3Revenue</f>
        <v>176992675.20000005</v>
      </c>
      <c r="F184" s="636">
        <f t="shared" si="86"/>
        <v>176992675.20000005</v>
      </c>
      <c r="G184" s="636">
        <f t="shared" si="86"/>
        <v>176992675.20000005</v>
      </c>
      <c r="H184" s="636">
        <f t="shared" si="86"/>
        <v>176992675.20000005</v>
      </c>
      <c r="I184" s="636">
        <f t="shared" si="86"/>
        <v>176992675.20000005</v>
      </c>
      <c r="J184" s="636">
        <f t="shared" si="86"/>
        <v>176992675.20000005</v>
      </c>
      <c r="K184" s="636">
        <f t="shared" si="86"/>
        <v>176992675.20000005</v>
      </c>
      <c r="L184" s="636">
        <f t="shared" si="86"/>
        <v>176992675.20000005</v>
      </c>
      <c r="M184" s="636">
        <f t="shared" si="86"/>
        <v>176992675.20000005</v>
      </c>
      <c r="N184" s="636">
        <f t="shared" si="86"/>
        <v>176992675.20000005</v>
      </c>
      <c r="O184" s="372" t="s">
        <v>1946</v>
      </c>
      <c r="P184" s="372"/>
    </row>
    <row r="185" spans="1:16" ht="16.8">
      <c r="A185" s="372"/>
      <c r="B185" s="372"/>
      <c r="C185" s="372"/>
      <c r="D185" s="372"/>
      <c r="E185" s="638"/>
      <c r="F185" s="638"/>
      <c r="G185" s="638"/>
      <c r="H185" s="638"/>
      <c r="I185" s="638"/>
      <c r="J185" s="638"/>
      <c r="K185" s="638"/>
      <c r="L185" s="638"/>
      <c r="M185" s="638"/>
      <c r="N185" s="638"/>
      <c r="O185" s="372"/>
      <c r="P185" s="372"/>
    </row>
    <row r="186" spans="1:16" ht="16.8">
      <c r="A186" s="372"/>
      <c r="B186" s="372"/>
      <c r="C186" s="393" t="s">
        <v>898</v>
      </c>
      <c r="D186" s="372"/>
      <c r="E186" s="638"/>
      <c r="F186" s="638"/>
      <c r="G186" s="638"/>
      <c r="H186" s="638"/>
      <c r="I186" s="638"/>
      <c r="J186" s="638"/>
      <c r="K186" s="638"/>
      <c r="L186" s="638"/>
      <c r="M186" s="638"/>
      <c r="N186" s="638"/>
      <c r="O186" s="372"/>
      <c r="P186" s="372"/>
    </row>
    <row r="187" spans="1:16" ht="16.8">
      <c r="A187" s="372"/>
      <c r="B187" s="372"/>
      <c r="C187" s="372"/>
      <c r="D187" s="629" t="s">
        <v>1542</v>
      </c>
      <c r="E187" s="636">
        <f t="shared" ref="E187:N187" si="87">calcProd3Seg3MatExp</f>
        <v>53097802.56000001</v>
      </c>
      <c r="F187" s="636">
        <f t="shared" si="87"/>
        <v>53097802.56000001</v>
      </c>
      <c r="G187" s="636">
        <f t="shared" si="87"/>
        <v>53097802.56000001</v>
      </c>
      <c r="H187" s="636">
        <f t="shared" si="87"/>
        <v>53097802.56000001</v>
      </c>
      <c r="I187" s="636">
        <f t="shared" si="87"/>
        <v>53097802.56000001</v>
      </c>
      <c r="J187" s="636">
        <f t="shared" si="87"/>
        <v>53097802.56000001</v>
      </c>
      <c r="K187" s="636">
        <f t="shared" si="87"/>
        <v>53097802.56000001</v>
      </c>
      <c r="L187" s="636">
        <f t="shared" si="87"/>
        <v>53097802.56000001</v>
      </c>
      <c r="M187" s="636">
        <f t="shared" si="87"/>
        <v>53097802.56000001</v>
      </c>
      <c r="N187" s="636">
        <f t="shared" si="87"/>
        <v>53097802.56000001</v>
      </c>
      <c r="O187" s="372" t="s">
        <v>1947</v>
      </c>
      <c r="P187" s="371"/>
    </row>
    <row r="188" spans="1:16" ht="16.8">
      <c r="A188" s="372"/>
      <c r="B188" s="372"/>
      <c r="C188" s="372"/>
      <c r="D188" s="629" t="s">
        <v>1541</v>
      </c>
      <c r="E188" s="636">
        <f t="shared" ref="E188:N188" si="88">calcProd3Seg3LaborExp</f>
        <v>44248168.800000012</v>
      </c>
      <c r="F188" s="636">
        <f t="shared" si="88"/>
        <v>44248168.800000012</v>
      </c>
      <c r="G188" s="636">
        <f t="shared" si="88"/>
        <v>44248168.800000012</v>
      </c>
      <c r="H188" s="636">
        <f t="shared" si="88"/>
        <v>44248168.800000012</v>
      </c>
      <c r="I188" s="636">
        <f t="shared" si="88"/>
        <v>44248168.800000012</v>
      </c>
      <c r="J188" s="636">
        <f t="shared" si="88"/>
        <v>44248168.800000012</v>
      </c>
      <c r="K188" s="636">
        <f t="shared" si="88"/>
        <v>44248168.800000012</v>
      </c>
      <c r="L188" s="636">
        <f t="shared" si="88"/>
        <v>44248168.800000012</v>
      </c>
      <c r="M188" s="636">
        <f t="shared" si="88"/>
        <v>44248168.800000012</v>
      </c>
      <c r="N188" s="636">
        <f t="shared" si="88"/>
        <v>44248168.800000012</v>
      </c>
      <c r="O188" s="372" t="s">
        <v>1948</v>
      </c>
      <c r="P188" s="371"/>
    </row>
    <row r="189" spans="1:16" s="399" customFormat="1" ht="2.1" customHeight="1">
      <c r="A189" s="402"/>
      <c r="B189" s="304"/>
      <c r="C189" s="372"/>
      <c r="D189" s="401"/>
      <c r="E189" s="633"/>
      <c r="F189" s="634"/>
      <c r="G189" s="634"/>
      <c r="H189" s="634"/>
      <c r="I189" s="635"/>
      <c r="J189" s="633"/>
      <c r="K189" s="634"/>
      <c r="L189" s="634"/>
      <c r="M189" s="634"/>
      <c r="N189" s="635"/>
      <c r="O189" s="372"/>
      <c r="P189" s="400"/>
    </row>
    <row r="190" spans="1:16" ht="16.8">
      <c r="A190" s="372"/>
      <c r="B190" s="372"/>
      <c r="C190" s="372"/>
      <c r="D190" s="372" t="s">
        <v>50</v>
      </c>
      <c r="E190" s="636">
        <f t="shared" ref="E190:N190" si="89">SUM(E187:E189)+paramChallengeProd3Seg3COGS</f>
        <v>97345971.360000014</v>
      </c>
      <c r="F190" s="636">
        <f t="shared" si="89"/>
        <v>97345971.360000014</v>
      </c>
      <c r="G190" s="636">
        <f t="shared" si="89"/>
        <v>97345971.360000014</v>
      </c>
      <c r="H190" s="636">
        <f t="shared" si="89"/>
        <v>97345971.360000014</v>
      </c>
      <c r="I190" s="636">
        <f t="shared" si="89"/>
        <v>97345971.360000014</v>
      </c>
      <c r="J190" s="636">
        <f t="shared" si="89"/>
        <v>97345971.360000014</v>
      </c>
      <c r="K190" s="636">
        <f t="shared" si="89"/>
        <v>97345971.360000014</v>
      </c>
      <c r="L190" s="636">
        <f t="shared" si="89"/>
        <v>97345971.360000014</v>
      </c>
      <c r="M190" s="636">
        <f t="shared" si="89"/>
        <v>97345971.360000014</v>
      </c>
      <c r="N190" s="636">
        <f t="shared" si="89"/>
        <v>97345971.360000014</v>
      </c>
      <c r="O190" s="372" t="s">
        <v>1949</v>
      </c>
      <c r="P190" s="372"/>
    </row>
    <row r="191" spans="1:16" ht="16.8">
      <c r="A191" s="372"/>
      <c r="B191" s="372"/>
      <c r="C191" s="372"/>
      <c r="D191" s="372"/>
      <c r="E191" s="373"/>
      <c r="F191" s="373"/>
      <c r="G191" s="373"/>
      <c r="H191" s="373"/>
      <c r="I191" s="373"/>
      <c r="J191" s="373"/>
      <c r="K191" s="373"/>
      <c r="L191" s="373"/>
      <c r="M191" s="373"/>
      <c r="N191" s="373"/>
      <c r="O191" s="372"/>
      <c r="P191" s="372"/>
    </row>
    <row r="192" spans="1:16" ht="16.8">
      <c r="A192" s="372"/>
      <c r="B192" s="372"/>
      <c r="C192" s="393" t="s">
        <v>206</v>
      </c>
      <c r="D192" s="372"/>
      <c r="E192" s="373"/>
      <c r="F192" s="373"/>
      <c r="G192" s="373"/>
      <c r="H192" s="373"/>
      <c r="I192" s="373"/>
      <c r="J192" s="373"/>
      <c r="K192" s="373"/>
      <c r="L192" s="373"/>
      <c r="M192" s="373"/>
      <c r="N192" s="373"/>
      <c r="O192" s="372"/>
      <c r="P192" s="372"/>
    </row>
    <row r="193" spans="1:16" ht="16.8">
      <c r="A193" s="372"/>
      <c r="B193" s="372"/>
      <c r="C193" s="372"/>
      <c r="D193" s="372" t="s">
        <v>206</v>
      </c>
      <c r="E193" s="636">
        <f t="shared" ref="E193:N193" si="90">finPNLProd3Seg3TotalRev-finPNLProd3Seg3TotalCOGs</f>
        <v>79646703.840000033</v>
      </c>
      <c r="F193" s="636">
        <f t="shared" si="90"/>
        <v>79646703.840000033</v>
      </c>
      <c r="G193" s="636">
        <f t="shared" si="90"/>
        <v>79646703.840000033</v>
      </c>
      <c r="H193" s="636">
        <f t="shared" si="90"/>
        <v>79646703.840000033</v>
      </c>
      <c r="I193" s="636">
        <f t="shared" si="90"/>
        <v>79646703.840000033</v>
      </c>
      <c r="J193" s="636">
        <f t="shared" si="90"/>
        <v>79646703.840000033</v>
      </c>
      <c r="K193" s="636">
        <f t="shared" si="90"/>
        <v>79646703.840000033</v>
      </c>
      <c r="L193" s="636">
        <f t="shared" si="90"/>
        <v>79646703.840000033</v>
      </c>
      <c r="M193" s="636">
        <f t="shared" si="90"/>
        <v>79646703.840000033</v>
      </c>
      <c r="N193" s="636">
        <f t="shared" si="90"/>
        <v>79646703.840000033</v>
      </c>
      <c r="O193" s="372" t="s">
        <v>1950</v>
      </c>
      <c r="P193" s="371"/>
    </row>
    <row r="194" spans="1:16" ht="16.8">
      <c r="A194" s="372"/>
      <c r="B194" s="372"/>
      <c r="C194" s="393"/>
      <c r="D194" s="409" t="s">
        <v>208</v>
      </c>
      <c r="E194" s="407">
        <f t="shared" ref="E194:N194" si="91">E193/finPNLProd3Seg3TotalRev</f>
        <v>0.45000000000000007</v>
      </c>
      <c r="F194" s="407">
        <f t="shared" si="91"/>
        <v>0.45000000000000007</v>
      </c>
      <c r="G194" s="407">
        <f t="shared" si="91"/>
        <v>0.45000000000000007</v>
      </c>
      <c r="H194" s="407">
        <f t="shared" si="91"/>
        <v>0.45000000000000007</v>
      </c>
      <c r="I194" s="407">
        <f t="shared" si="91"/>
        <v>0.45000000000000007</v>
      </c>
      <c r="J194" s="407">
        <f t="shared" si="91"/>
        <v>0.45000000000000007</v>
      </c>
      <c r="K194" s="407">
        <f t="shared" si="91"/>
        <v>0.45000000000000007</v>
      </c>
      <c r="L194" s="407">
        <f t="shared" si="91"/>
        <v>0.45000000000000007</v>
      </c>
      <c r="M194" s="407">
        <f t="shared" si="91"/>
        <v>0.45000000000000007</v>
      </c>
      <c r="N194" s="407">
        <f t="shared" si="91"/>
        <v>0.45000000000000007</v>
      </c>
      <c r="O194" s="372" t="s">
        <v>1951</v>
      </c>
      <c r="P194" s="372"/>
    </row>
    <row r="195" spans="1:16" ht="16.8">
      <c r="A195" s="372"/>
      <c r="B195" s="372"/>
      <c r="C195" s="372"/>
      <c r="D195" s="372"/>
      <c r="E195" s="408"/>
      <c r="F195" s="373"/>
      <c r="G195" s="373"/>
      <c r="H195" s="373"/>
      <c r="I195" s="373"/>
      <c r="J195" s="408"/>
      <c r="K195" s="373"/>
      <c r="L195" s="373"/>
      <c r="M195" s="373"/>
      <c r="N195" s="373"/>
      <c r="O195" s="372"/>
      <c r="P195" s="372"/>
    </row>
    <row r="196" spans="1:16" s="382" customFormat="1" ht="13.8">
      <c r="B196" s="384" t="s">
        <v>50</v>
      </c>
      <c r="C196" s="384"/>
      <c r="D196" s="384"/>
      <c r="E196" s="383"/>
      <c r="F196" s="383"/>
      <c r="G196" s="383"/>
      <c r="H196" s="383"/>
      <c r="I196" s="383"/>
      <c r="J196" s="383"/>
      <c r="K196" s="383"/>
      <c r="L196" s="383"/>
      <c r="M196" s="383"/>
      <c r="N196" s="383"/>
      <c r="O196" s="726"/>
    </row>
    <row r="197" spans="1:16" ht="16.8">
      <c r="A197" s="372"/>
      <c r="B197" s="372"/>
      <c r="C197" s="372"/>
      <c r="D197" s="372"/>
      <c r="E197" s="373"/>
      <c r="F197" s="373"/>
      <c r="G197" s="373"/>
      <c r="H197" s="373"/>
      <c r="I197" s="373"/>
      <c r="J197" s="373"/>
      <c r="K197" s="373"/>
      <c r="L197" s="373"/>
      <c r="M197" s="373"/>
      <c r="N197" s="373"/>
      <c r="O197" s="372"/>
      <c r="P197" s="372"/>
    </row>
    <row r="198" spans="1:16" ht="16.8">
      <c r="A198" s="372"/>
      <c r="B198" s="372"/>
      <c r="C198" s="393" t="str">
        <f>FinDefBookingsName</f>
        <v>Bookings</v>
      </c>
      <c r="D198" s="372"/>
      <c r="E198" s="373"/>
      <c r="F198" s="373"/>
      <c r="G198" s="373"/>
      <c r="H198" s="373"/>
      <c r="I198" s="373"/>
      <c r="J198" s="373"/>
      <c r="K198" s="373"/>
      <c r="L198" s="373"/>
      <c r="M198" s="373"/>
      <c r="N198" s="373"/>
      <c r="O198" s="372"/>
      <c r="P198" s="372"/>
    </row>
    <row r="199" spans="1:16" ht="16.8">
      <c r="A199" s="372"/>
      <c r="B199" s="372"/>
      <c r="C199" s="372"/>
      <c r="D199" s="398" t="str">
        <f>nmProd1Seg1</f>
        <v>Productivity &amp; Business Enterprise</v>
      </c>
      <c r="E199" s="632">
        <f t="shared" ref="E199:N199" si="92">finPNLProd1Seg1TotalBookings</f>
        <v>87497351.572837919</v>
      </c>
      <c r="F199" s="632">
        <f t="shared" si="92"/>
        <v>87497351.572837919</v>
      </c>
      <c r="G199" s="632">
        <f t="shared" si="92"/>
        <v>87497351.572837919</v>
      </c>
      <c r="H199" s="632">
        <f t="shared" si="92"/>
        <v>87497351.572837919</v>
      </c>
      <c r="I199" s="632">
        <f t="shared" si="92"/>
        <v>87497351.572837919</v>
      </c>
      <c r="J199" s="632">
        <f t="shared" si="92"/>
        <v>87497351.572837919</v>
      </c>
      <c r="K199" s="632">
        <f t="shared" si="92"/>
        <v>87497351.572837919</v>
      </c>
      <c r="L199" s="632">
        <f t="shared" si="92"/>
        <v>87497351.572837919</v>
      </c>
      <c r="M199" s="632">
        <f t="shared" si="92"/>
        <v>87497351.572837919</v>
      </c>
      <c r="N199" s="632">
        <f t="shared" si="92"/>
        <v>87497351.572837919</v>
      </c>
      <c r="O199" s="372"/>
      <c r="P199" s="372"/>
    </row>
    <row r="200" spans="1:16" ht="16.8">
      <c r="A200" s="372"/>
      <c r="B200" s="372"/>
      <c r="C200" s="372"/>
      <c r="D200" s="398" t="str">
        <f>nmProd1Seg2</f>
        <v>Productivity &amp; Business SMC</v>
      </c>
      <c r="E200" s="632">
        <f t="shared" ref="E200:N200" si="93">finPNLProd1Seg2TotalBookings</f>
        <v>56043578.130822919</v>
      </c>
      <c r="F200" s="632">
        <f t="shared" si="93"/>
        <v>56043578.130822919</v>
      </c>
      <c r="G200" s="632">
        <f t="shared" si="93"/>
        <v>56043578.130822919</v>
      </c>
      <c r="H200" s="632">
        <f t="shared" si="93"/>
        <v>56043578.130822919</v>
      </c>
      <c r="I200" s="632">
        <f t="shared" si="93"/>
        <v>56043578.130822919</v>
      </c>
      <c r="J200" s="632">
        <f t="shared" si="93"/>
        <v>56043578.130822919</v>
      </c>
      <c r="K200" s="632">
        <f t="shared" si="93"/>
        <v>56043578.130822919</v>
      </c>
      <c r="L200" s="632">
        <f t="shared" si="93"/>
        <v>56043578.130822919</v>
      </c>
      <c r="M200" s="632">
        <f t="shared" si="93"/>
        <v>56043578.130822919</v>
      </c>
      <c r="N200" s="632">
        <f t="shared" si="93"/>
        <v>56043578.130822919</v>
      </c>
      <c r="O200" s="372"/>
      <c r="P200" s="372"/>
    </row>
    <row r="201" spans="1:16" ht="16.8">
      <c r="A201" s="372"/>
      <c r="B201" s="372"/>
      <c r="C201" s="372"/>
      <c r="D201" s="398" t="str">
        <f>nmProd1Seg3</f>
        <v>Productivity &amp; Business Consumer</v>
      </c>
      <c r="E201" s="632">
        <f t="shared" ref="E201:N201" si="94">finPNLProd1Seg3TotalBookings</f>
        <v>107633069.18734664</v>
      </c>
      <c r="F201" s="632">
        <f t="shared" si="94"/>
        <v>107633069.18734664</v>
      </c>
      <c r="G201" s="632">
        <f t="shared" si="94"/>
        <v>107633069.18734664</v>
      </c>
      <c r="H201" s="632">
        <f t="shared" si="94"/>
        <v>107633069.18734664</v>
      </c>
      <c r="I201" s="632">
        <f t="shared" si="94"/>
        <v>107633069.18734664</v>
      </c>
      <c r="J201" s="632">
        <f t="shared" si="94"/>
        <v>107633069.18734664</v>
      </c>
      <c r="K201" s="632">
        <f t="shared" si="94"/>
        <v>107633069.18734664</v>
      </c>
      <c r="L201" s="632">
        <f t="shared" si="94"/>
        <v>107633069.18734664</v>
      </c>
      <c r="M201" s="632">
        <f t="shared" si="94"/>
        <v>107633069.18734664</v>
      </c>
      <c r="N201" s="632">
        <f t="shared" si="94"/>
        <v>107633069.18734664</v>
      </c>
      <c r="O201" s="372"/>
      <c r="P201" s="372"/>
    </row>
    <row r="202" spans="1:16" ht="16.8">
      <c r="A202" s="372"/>
      <c r="B202" s="372"/>
      <c r="C202" s="372"/>
      <c r="D202" s="398" t="str">
        <f>nmProd2Seg1</f>
        <v>Intelligent Cloud Enterprise</v>
      </c>
      <c r="E202" s="632">
        <f t="shared" ref="E202:N202" si="95">finPNLProd2Seg1TotalBookings</f>
        <v>161925371.14260238</v>
      </c>
      <c r="F202" s="632">
        <f t="shared" si="95"/>
        <v>161925371.14260238</v>
      </c>
      <c r="G202" s="632">
        <f t="shared" si="95"/>
        <v>161925371.14260238</v>
      </c>
      <c r="H202" s="632">
        <f t="shared" si="95"/>
        <v>161925371.14260238</v>
      </c>
      <c r="I202" s="632">
        <f t="shared" si="95"/>
        <v>161925371.14260238</v>
      </c>
      <c r="J202" s="632">
        <f t="shared" si="95"/>
        <v>161925371.14260238</v>
      </c>
      <c r="K202" s="632">
        <f t="shared" si="95"/>
        <v>161925371.14260238</v>
      </c>
      <c r="L202" s="632">
        <f t="shared" si="95"/>
        <v>161925371.14260238</v>
      </c>
      <c r="M202" s="632">
        <f t="shared" si="95"/>
        <v>161925371.14260238</v>
      </c>
      <c r="N202" s="632">
        <f t="shared" si="95"/>
        <v>161925371.14260238</v>
      </c>
      <c r="O202" s="372"/>
      <c r="P202" s="372"/>
    </row>
    <row r="203" spans="1:16" ht="16.8">
      <c r="A203" s="372"/>
      <c r="B203" s="372"/>
      <c r="C203" s="372"/>
      <c r="D203" s="398" t="str">
        <f>nmProd2Seg2</f>
        <v>Intelligent Cloud SMC</v>
      </c>
      <c r="E203" s="632">
        <f t="shared" ref="E203:N203" si="96">finPNLProd2Seg2TotalBookings</f>
        <v>212876812.45163089</v>
      </c>
      <c r="F203" s="632">
        <f t="shared" si="96"/>
        <v>212876812.45163089</v>
      </c>
      <c r="G203" s="632">
        <f t="shared" si="96"/>
        <v>212876812.45163089</v>
      </c>
      <c r="H203" s="632">
        <f t="shared" si="96"/>
        <v>212876812.45163089</v>
      </c>
      <c r="I203" s="632">
        <f t="shared" si="96"/>
        <v>212876812.45163089</v>
      </c>
      <c r="J203" s="632">
        <f t="shared" si="96"/>
        <v>212876812.45163089</v>
      </c>
      <c r="K203" s="632">
        <f t="shared" si="96"/>
        <v>212876812.45163089</v>
      </c>
      <c r="L203" s="632">
        <f t="shared" si="96"/>
        <v>212876812.45163089</v>
      </c>
      <c r="M203" s="632">
        <f t="shared" si="96"/>
        <v>212876812.45163089</v>
      </c>
      <c r="N203" s="632">
        <f t="shared" si="96"/>
        <v>212876812.45163089</v>
      </c>
      <c r="O203" s="372"/>
      <c r="P203" s="372"/>
    </row>
    <row r="204" spans="1:16" s="399" customFormat="1" ht="2.1" customHeight="1">
      <c r="A204" s="402"/>
      <c r="B204" s="304"/>
      <c r="C204" s="372"/>
      <c r="D204" s="401"/>
      <c r="E204" s="633"/>
      <c r="F204" s="634"/>
      <c r="G204" s="634"/>
      <c r="H204" s="634"/>
      <c r="I204" s="635"/>
      <c r="J204" s="633"/>
      <c r="K204" s="634"/>
      <c r="L204" s="634"/>
      <c r="M204" s="634"/>
      <c r="N204" s="635"/>
      <c r="O204" s="372"/>
      <c r="P204" s="400"/>
    </row>
    <row r="205" spans="1:16" ht="16.8">
      <c r="A205" s="372"/>
      <c r="B205" s="372"/>
      <c r="C205" s="372"/>
      <c r="D205" s="372" t="s">
        <v>50</v>
      </c>
      <c r="E205" s="636">
        <f t="shared" ref="E205:N205" si="97">SUM(E199:E204)</f>
        <v>625976182.4852407</v>
      </c>
      <c r="F205" s="636">
        <f t="shared" si="97"/>
        <v>625976182.4852407</v>
      </c>
      <c r="G205" s="636">
        <f t="shared" si="97"/>
        <v>625976182.4852407</v>
      </c>
      <c r="H205" s="636">
        <f t="shared" si="97"/>
        <v>625976182.4852407</v>
      </c>
      <c r="I205" s="636">
        <f t="shared" si="97"/>
        <v>625976182.4852407</v>
      </c>
      <c r="J205" s="636">
        <f t="shared" si="97"/>
        <v>625976182.4852407</v>
      </c>
      <c r="K205" s="636">
        <f t="shared" si="97"/>
        <v>625976182.4852407</v>
      </c>
      <c r="L205" s="636">
        <f t="shared" si="97"/>
        <v>625976182.4852407</v>
      </c>
      <c r="M205" s="636">
        <f t="shared" si="97"/>
        <v>625976182.4852407</v>
      </c>
      <c r="N205" s="636">
        <f t="shared" si="97"/>
        <v>625976182.4852407</v>
      </c>
      <c r="O205" s="372" t="s">
        <v>1952</v>
      </c>
      <c r="P205" s="372"/>
    </row>
    <row r="206" spans="1:16" ht="16.8">
      <c r="A206" s="372"/>
      <c r="B206" s="372"/>
      <c r="C206" s="372"/>
      <c r="D206" s="372"/>
      <c r="E206" s="638"/>
      <c r="F206" s="638"/>
      <c r="G206" s="638"/>
      <c r="H206" s="638"/>
      <c r="I206" s="638"/>
      <c r="J206" s="638"/>
      <c r="K206" s="638"/>
      <c r="L206" s="638"/>
      <c r="M206" s="638"/>
      <c r="N206" s="638"/>
      <c r="O206" s="372"/>
      <c r="P206" s="372"/>
    </row>
    <row r="207" spans="1:16" ht="16.8">
      <c r="A207" s="372"/>
      <c r="B207" s="372"/>
      <c r="C207" s="393" t="s">
        <v>117</v>
      </c>
      <c r="D207" s="372"/>
      <c r="E207" s="638"/>
      <c r="F207" s="638"/>
      <c r="G207" s="638"/>
      <c r="H207" s="638"/>
      <c r="I207" s="638"/>
      <c r="J207" s="638"/>
      <c r="K207" s="638"/>
      <c r="L207" s="638"/>
      <c r="M207" s="638"/>
      <c r="N207" s="638"/>
      <c r="O207" s="372"/>
      <c r="P207" s="372"/>
    </row>
    <row r="208" spans="1:16" ht="16.8">
      <c r="A208" s="372"/>
      <c r="B208" s="372"/>
      <c r="C208" s="372"/>
      <c r="D208" s="398" t="str">
        <f>nmProd1Seg1</f>
        <v>Productivity &amp; Business Enterprise</v>
      </c>
      <c r="E208" s="632">
        <f t="shared" ref="E208:N208" si="98">finPNLProd1Seg1TotalRev</f>
        <v>133103186.30006261</v>
      </c>
      <c r="F208" s="632">
        <f t="shared" si="98"/>
        <v>133103186.30006261</v>
      </c>
      <c r="G208" s="632">
        <f t="shared" si="98"/>
        <v>133103186.30006261</v>
      </c>
      <c r="H208" s="632">
        <f t="shared" si="98"/>
        <v>133103186.30006261</v>
      </c>
      <c r="I208" s="632">
        <f t="shared" si="98"/>
        <v>133103186.30006261</v>
      </c>
      <c r="J208" s="632">
        <f t="shared" si="98"/>
        <v>133103186.30006261</v>
      </c>
      <c r="K208" s="632">
        <f t="shared" si="98"/>
        <v>133103186.30006261</v>
      </c>
      <c r="L208" s="632">
        <f t="shared" si="98"/>
        <v>133103186.30006261</v>
      </c>
      <c r="M208" s="632">
        <f t="shared" si="98"/>
        <v>133103186.30006261</v>
      </c>
      <c r="N208" s="632">
        <f t="shared" si="98"/>
        <v>133103186.30006261</v>
      </c>
      <c r="O208" s="372"/>
      <c r="P208" s="372"/>
    </row>
    <row r="209" spans="1:16" ht="16.8">
      <c r="A209" s="372"/>
      <c r="B209" s="372"/>
      <c r="C209" s="372"/>
      <c r="D209" s="398" t="str">
        <f>nmProd1Seg2</f>
        <v>Productivity &amp; Business SMC</v>
      </c>
      <c r="E209" s="632">
        <f t="shared" ref="E209:N209" si="99">finPNLProd1Seg2TotalRev</f>
        <v>102474123.06459779</v>
      </c>
      <c r="F209" s="632">
        <f t="shared" si="99"/>
        <v>102474123.06459779</v>
      </c>
      <c r="G209" s="632">
        <f t="shared" si="99"/>
        <v>102474123.06459779</v>
      </c>
      <c r="H209" s="632">
        <f t="shared" si="99"/>
        <v>102474123.06459779</v>
      </c>
      <c r="I209" s="632">
        <f t="shared" si="99"/>
        <v>102474123.06459779</v>
      </c>
      <c r="J209" s="632">
        <f t="shared" si="99"/>
        <v>102474123.06459779</v>
      </c>
      <c r="K209" s="632">
        <f t="shared" si="99"/>
        <v>102474123.06459779</v>
      </c>
      <c r="L209" s="632">
        <f t="shared" si="99"/>
        <v>102474123.06459779</v>
      </c>
      <c r="M209" s="632">
        <f t="shared" si="99"/>
        <v>102474123.06459779</v>
      </c>
      <c r="N209" s="632">
        <f t="shared" si="99"/>
        <v>102474123.06459779</v>
      </c>
      <c r="O209" s="372"/>
      <c r="P209" s="372"/>
    </row>
    <row r="210" spans="1:16" ht="16.8">
      <c r="A210" s="372"/>
      <c r="B210" s="372"/>
      <c r="C210" s="372"/>
      <c r="D210" s="398" t="str">
        <f>nmProd1Seg3</f>
        <v>Productivity &amp; Business Consumer</v>
      </c>
      <c r="E210" s="632">
        <f t="shared" ref="E210:N210" si="100">finPNLProd1Seg3TotalRev</f>
        <v>117835660.39367332</v>
      </c>
      <c r="F210" s="632">
        <f t="shared" si="100"/>
        <v>117835660.39367332</v>
      </c>
      <c r="G210" s="632">
        <f t="shared" si="100"/>
        <v>117835660.39367332</v>
      </c>
      <c r="H210" s="632">
        <f t="shared" si="100"/>
        <v>117835660.39367332</v>
      </c>
      <c r="I210" s="632">
        <f t="shared" si="100"/>
        <v>117835660.39367332</v>
      </c>
      <c r="J210" s="632">
        <f t="shared" si="100"/>
        <v>117835660.39367332</v>
      </c>
      <c r="K210" s="632">
        <f t="shared" si="100"/>
        <v>117835660.39367332</v>
      </c>
      <c r="L210" s="632">
        <f t="shared" si="100"/>
        <v>117835660.39367332</v>
      </c>
      <c r="M210" s="632">
        <f t="shared" si="100"/>
        <v>117835660.39367332</v>
      </c>
      <c r="N210" s="632">
        <f t="shared" si="100"/>
        <v>117835660.39367332</v>
      </c>
      <c r="O210" s="372"/>
      <c r="P210" s="372"/>
    </row>
    <row r="211" spans="1:16" ht="16.8">
      <c r="A211" s="372"/>
      <c r="B211" s="372"/>
      <c r="C211" s="372"/>
      <c r="D211" s="398" t="str">
        <f>nmProd2Seg1</f>
        <v>Intelligent Cloud Enterprise</v>
      </c>
      <c r="E211" s="632">
        <f t="shared" ref="E211:N211" si="101">finPNLProd2Seg1TotalRev</f>
        <v>143442384.26432651</v>
      </c>
      <c r="F211" s="632">
        <f t="shared" si="101"/>
        <v>143442384.26432651</v>
      </c>
      <c r="G211" s="632">
        <f t="shared" si="101"/>
        <v>143442384.26432651</v>
      </c>
      <c r="H211" s="632">
        <f t="shared" si="101"/>
        <v>143442384.26432651</v>
      </c>
      <c r="I211" s="632">
        <f t="shared" si="101"/>
        <v>143442384.26432651</v>
      </c>
      <c r="J211" s="632">
        <f t="shared" si="101"/>
        <v>143442384.26432651</v>
      </c>
      <c r="K211" s="632">
        <f t="shared" si="101"/>
        <v>143442384.26432651</v>
      </c>
      <c r="L211" s="632">
        <f t="shared" si="101"/>
        <v>143442384.26432651</v>
      </c>
      <c r="M211" s="632">
        <f t="shared" si="101"/>
        <v>143442384.26432651</v>
      </c>
      <c r="N211" s="632">
        <f t="shared" si="101"/>
        <v>143442384.26432651</v>
      </c>
      <c r="O211" s="372"/>
      <c r="P211" s="372"/>
    </row>
    <row r="212" spans="1:16" ht="16.8">
      <c r="A212" s="372"/>
      <c r="B212" s="372"/>
      <c r="C212" s="372"/>
      <c r="D212" s="398" t="str">
        <f>nmProd2Seg2</f>
        <v>Intelligent Cloud SMC</v>
      </c>
      <c r="E212" s="632">
        <f t="shared" ref="E212:N212" si="102">finPNLProd2Seg2TotalRev</f>
        <v>192811882.40667361</v>
      </c>
      <c r="F212" s="632">
        <f t="shared" si="102"/>
        <v>192811882.40667361</v>
      </c>
      <c r="G212" s="632">
        <f t="shared" si="102"/>
        <v>192811882.40667361</v>
      </c>
      <c r="H212" s="632">
        <f t="shared" si="102"/>
        <v>192811882.40667361</v>
      </c>
      <c r="I212" s="632">
        <f t="shared" si="102"/>
        <v>192811882.40667361</v>
      </c>
      <c r="J212" s="632">
        <f t="shared" si="102"/>
        <v>192811882.40667361</v>
      </c>
      <c r="K212" s="632">
        <f t="shared" si="102"/>
        <v>192811882.40667361</v>
      </c>
      <c r="L212" s="632">
        <f t="shared" si="102"/>
        <v>192811882.40667361</v>
      </c>
      <c r="M212" s="632">
        <f t="shared" si="102"/>
        <v>192811882.40667361</v>
      </c>
      <c r="N212" s="632">
        <f t="shared" si="102"/>
        <v>192811882.40667361</v>
      </c>
      <c r="O212" s="372"/>
      <c r="P212" s="372"/>
    </row>
    <row r="213" spans="1:16" ht="16.8">
      <c r="A213" s="372"/>
      <c r="B213" s="372"/>
      <c r="C213" s="372"/>
      <c r="D213" s="398" t="str">
        <f>nmProd3Seg1</f>
        <v>Personal Computing Enterprise</v>
      </c>
      <c r="E213" s="632">
        <f t="shared" ref="E213:N213" si="103">finPNLProd3Seg1TotalRev</f>
        <v>117995011.20000002</v>
      </c>
      <c r="F213" s="632">
        <f t="shared" si="103"/>
        <v>117995011.20000002</v>
      </c>
      <c r="G213" s="632">
        <f t="shared" si="103"/>
        <v>117995011.20000002</v>
      </c>
      <c r="H213" s="632">
        <f t="shared" si="103"/>
        <v>117995011.20000002</v>
      </c>
      <c r="I213" s="632">
        <f t="shared" si="103"/>
        <v>117995011.20000002</v>
      </c>
      <c r="J213" s="632">
        <f t="shared" si="103"/>
        <v>117995011.20000002</v>
      </c>
      <c r="K213" s="632">
        <f t="shared" si="103"/>
        <v>117995011.20000002</v>
      </c>
      <c r="L213" s="632">
        <f t="shared" si="103"/>
        <v>117995011.20000002</v>
      </c>
      <c r="M213" s="632">
        <f t="shared" si="103"/>
        <v>117995011.20000002</v>
      </c>
      <c r="N213" s="632">
        <f t="shared" si="103"/>
        <v>117995011.20000002</v>
      </c>
      <c r="O213" s="372"/>
      <c r="P213" s="372"/>
    </row>
    <row r="214" spans="1:16" ht="16.8">
      <c r="A214" s="372"/>
      <c r="B214" s="372"/>
      <c r="C214" s="372"/>
      <c r="D214" s="398" t="str">
        <f>nmProd3Seg2</f>
        <v>Personal Computing SMC</v>
      </c>
      <c r="E214" s="632">
        <f t="shared" ref="E214:N214" si="104">finPNLProd3Seg2TotalRev</f>
        <v>98329017.600000024</v>
      </c>
      <c r="F214" s="632">
        <f t="shared" si="104"/>
        <v>98329017.600000024</v>
      </c>
      <c r="G214" s="632">
        <f t="shared" si="104"/>
        <v>98329017.600000024</v>
      </c>
      <c r="H214" s="632">
        <f t="shared" si="104"/>
        <v>98329017.600000024</v>
      </c>
      <c r="I214" s="632">
        <f t="shared" si="104"/>
        <v>98329017.600000024</v>
      </c>
      <c r="J214" s="632">
        <f t="shared" si="104"/>
        <v>98329017.600000024</v>
      </c>
      <c r="K214" s="632">
        <f t="shared" si="104"/>
        <v>98329017.600000024</v>
      </c>
      <c r="L214" s="632">
        <f t="shared" si="104"/>
        <v>98329017.600000024</v>
      </c>
      <c r="M214" s="632">
        <f t="shared" si="104"/>
        <v>98329017.600000024</v>
      </c>
      <c r="N214" s="632">
        <f t="shared" si="104"/>
        <v>98329017.600000024</v>
      </c>
      <c r="O214" s="372"/>
      <c r="P214" s="372"/>
    </row>
    <row r="215" spans="1:16" ht="16.8">
      <c r="A215" s="372"/>
      <c r="B215" s="372"/>
      <c r="C215" s="372"/>
      <c r="D215" s="398" t="str">
        <f>nmProd3Seg3</f>
        <v>Personal Computing Consumer</v>
      </c>
      <c r="E215" s="632">
        <f t="shared" ref="E215:N215" si="105">finPNLProd3Seg3TotalRev</f>
        <v>176992675.20000005</v>
      </c>
      <c r="F215" s="632">
        <f t="shared" si="105"/>
        <v>176992675.20000005</v>
      </c>
      <c r="G215" s="632">
        <f t="shared" si="105"/>
        <v>176992675.20000005</v>
      </c>
      <c r="H215" s="632">
        <f t="shared" si="105"/>
        <v>176992675.20000005</v>
      </c>
      <c r="I215" s="632">
        <f t="shared" si="105"/>
        <v>176992675.20000005</v>
      </c>
      <c r="J215" s="632">
        <f t="shared" si="105"/>
        <v>176992675.20000005</v>
      </c>
      <c r="K215" s="632">
        <f t="shared" si="105"/>
        <v>176992675.20000005</v>
      </c>
      <c r="L215" s="632">
        <f t="shared" si="105"/>
        <v>176992675.20000005</v>
      </c>
      <c r="M215" s="632">
        <f t="shared" si="105"/>
        <v>176992675.20000005</v>
      </c>
      <c r="N215" s="632">
        <f t="shared" si="105"/>
        <v>176992675.20000005</v>
      </c>
      <c r="O215" s="372"/>
      <c r="P215" s="372"/>
    </row>
    <row r="216" spans="1:16" s="399" customFormat="1" ht="2.1" customHeight="1">
      <c r="A216" s="402"/>
      <c r="B216" s="304"/>
      <c r="C216" s="372"/>
      <c r="D216" s="401"/>
      <c r="E216" s="633"/>
      <c r="F216" s="634"/>
      <c r="G216" s="634"/>
      <c r="H216" s="634"/>
      <c r="I216" s="635"/>
      <c r="J216" s="633"/>
      <c r="K216" s="634"/>
      <c r="L216" s="634"/>
      <c r="M216" s="634"/>
      <c r="N216" s="635"/>
      <c r="O216" s="372"/>
      <c r="P216" s="400"/>
    </row>
    <row r="217" spans="1:16" ht="16.8">
      <c r="A217" s="372"/>
      <c r="B217" s="372"/>
      <c r="C217" s="372"/>
      <c r="D217" s="372" t="s">
        <v>50</v>
      </c>
      <c r="E217" s="636">
        <f t="shared" ref="E217:N217" si="106">SUM(E208:E216)</f>
        <v>1082983940.4293339</v>
      </c>
      <c r="F217" s="636">
        <f t="shared" si="106"/>
        <v>1082983940.4293339</v>
      </c>
      <c r="G217" s="636">
        <f t="shared" si="106"/>
        <v>1082983940.4293339</v>
      </c>
      <c r="H217" s="636">
        <f t="shared" si="106"/>
        <v>1082983940.4293339</v>
      </c>
      <c r="I217" s="636">
        <f t="shared" si="106"/>
        <v>1082983940.4293339</v>
      </c>
      <c r="J217" s="636">
        <f t="shared" si="106"/>
        <v>1082983940.4293339</v>
      </c>
      <c r="K217" s="636">
        <f t="shared" si="106"/>
        <v>1082983940.4293339</v>
      </c>
      <c r="L217" s="636">
        <f t="shared" si="106"/>
        <v>1082983940.4293339</v>
      </c>
      <c r="M217" s="636">
        <f t="shared" si="106"/>
        <v>1082983940.4293339</v>
      </c>
      <c r="N217" s="636">
        <f t="shared" si="106"/>
        <v>1082983940.4293339</v>
      </c>
      <c r="O217" s="372" t="s">
        <v>1953</v>
      </c>
      <c r="P217" s="372"/>
    </row>
    <row r="218" spans="1:16" ht="16.8">
      <c r="A218" s="372"/>
      <c r="B218" s="372"/>
      <c r="C218" s="372"/>
      <c r="D218" s="371" t="s">
        <v>392</v>
      </c>
      <c r="E218" s="698">
        <f t="shared" ref="E218:N218" si="107">(finPNLTotalRev-obalTotalRev)/obalTotalRev</f>
        <v>0.13562840108960605</v>
      </c>
      <c r="F218" s="698">
        <f t="shared" si="107"/>
        <v>0.13562840108960605</v>
      </c>
      <c r="G218" s="698">
        <f t="shared" si="107"/>
        <v>0.13562840108960605</v>
      </c>
      <c r="H218" s="698">
        <f t="shared" si="107"/>
        <v>0.13562840108960605</v>
      </c>
      <c r="I218" s="698">
        <f t="shared" si="107"/>
        <v>0.13562840108960605</v>
      </c>
      <c r="J218" s="698">
        <f t="shared" si="107"/>
        <v>0.13562840108960605</v>
      </c>
      <c r="K218" s="698">
        <f t="shared" si="107"/>
        <v>0.13562840108960605</v>
      </c>
      <c r="L218" s="698">
        <f t="shared" si="107"/>
        <v>0.13562840108960605</v>
      </c>
      <c r="M218" s="698">
        <f t="shared" si="107"/>
        <v>0.13562840108960605</v>
      </c>
      <c r="N218" s="698">
        <f t="shared" si="107"/>
        <v>0.13562840108960605</v>
      </c>
      <c r="O218" s="372" t="s">
        <v>2096</v>
      </c>
      <c r="P218" s="372"/>
    </row>
    <row r="219" spans="1:16" ht="16.8">
      <c r="A219" s="372"/>
      <c r="B219" s="372"/>
      <c r="C219" s="372"/>
      <c r="D219" s="372"/>
      <c r="E219" s="638"/>
      <c r="F219" s="638"/>
      <c r="G219" s="638"/>
      <c r="H219" s="638"/>
      <c r="I219" s="638"/>
      <c r="J219" s="638"/>
      <c r="K219" s="638"/>
      <c r="L219" s="638"/>
      <c r="M219" s="638"/>
      <c r="N219" s="638"/>
      <c r="O219" s="372"/>
      <c r="P219" s="372"/>
    </row>
    <row r="220" spans="1:16" ht="16.8">
      <c r="A220" s="372"/>
      <c r="B220" s="372"/>
      <c r="C220" s="393" t="s">
        <v>898</v>
      </c>
      <c r="D220" s="372"/>
      <c r="E220" s="638"/>
      <c r="F220" s="638"/>
      <c r="G220" s="638"/>
      <c r="H220" s="638"/>
      <c r="I220" s="638"/>
      <c r="J220" s="638"/>
      <c r="K220" s="638"/>
      <c r="L220" s="638"/>
      <c r="M220" s="638"/>
      <c r="N220" s="638"/>
      <c r="O220" s="372"/>
      <c r="P220" s="372"/>
    </row>
    <row r="221" spans="1:16" ht="16.8">
      <c r="A221" s="372"/>
      <c r="B221" s="372"/>
      <c r="C221" s="372"/>
      <c r="D221" s="398" t="str">
        <f>nmProd1Seg1</f>
        <v>Productivity &amp; Business Enterprise</v>
      </c>
      <c r="E221" s="632">
        <f t="shared" ref="E221:N221" si="108">finPNLProd1Seg1TotalCOGs</f>
        <v>22619823.863429744</v>
      </c>
      <c r="F221" s="632">
        <f t="shared" si="108"/>
        <v>22619823.863429744</v>
      </c>
      <c r="G221" s="632">
        <f t="shared" si="108"/>
        <v>22619823.863429744</v>
      </c>
      <c r="H221" s="632">
        <f t="shared" si="108"/>
        <v>22619823.863429744</v>
      </c>
      <c r="I221" s="632">
        <f t="shared" si="108"/>
        <v>22619823.863429744</v>
      </c>
      <c r="J221" s="632">
        <f t="shared" si="108"/>
        <v>22619823.863429744</v>
      </c>
      <c r="K221" s="632">
        <f t="shared" si="108"/>
        <v>22619823.863429744</v>
      </c>
      <c r="L221" s="632">
        <f t="shared" si="108"/>
        <v>22619823.863429744</v>
      </c>
      <c r="M221" s="632">
        <f t="shared" si="108"/>
        <v>22619823.863429744</v>
      </c>
      <c r="N221" s="632">
        <f t="shared" si="108"/>
        <v>22619823.863429744</v>
      </c>
      <c r="O221" s="372"/>
      <c r="P221" s="372"/>
    </row>
    <row r="222" spans="1:16" ht="16.8">
      <c r="A222" s="372"/>
      <c r="B222" s="372"/>
      <c r="C222" s="372"/>
      <c r="D222" s="398" t="str">
        <f>nmProd1Seg2</f>
        <v>Productivity &amp; Business SMC</v>
      </c>
      <c r="E222" s="632">
        <f t="shared" ref="E222:N222" si="109">finPNLProd1Seg2TotalCOGs</f>
        <v>20226608.214062825</v>
      </c>
      <c r="F222" s="632">
        <f t="shared" si="109"/>
        <v>20226608.214062825</v>
      </c>
      <c r="G222" s="632">
        <f t="shared" si="109"/>
        <v>20226608.214062825</v>
      </c>
      <c r="H222" s="632">
        <f t="shared" si="109"/>
        <v>20226608.214062825</v>
      </c>
      <c r="I222" s="632">
        <f t="shared" si="109"/>
        <v>20226608.214062825</v>
      </c>
      <c r="J222" s="632">
        <f t="shared" si="109"/>
        <v>20226608.214062825</v>
      </c>
      <c r="K222" s="632">
        <f t="shared" si="109"/>
        <v>20226608.214062825</v>
      </c>
      <c r="L222" s="632">
        <f t="shared" si="109"/>
        <v>20226608.214062825</v>
      </c>
      <c r="M222" s="632">
        <f t="shared" si="109"/>
        <v>20226608.214062825</v>
      </c>
      <c r="N222" s="632">
        <f t="shared" si="109"/>
        <v>20226608.214062825</v>
      </c>
      <c r="O222" s="372"/>
      <c r="P222" s="372"/>
    </row>
    <row r="223" spans="1:16" ht="16.8">
      <c r="A223" s="372"/>
      <c r="B223" s="372"/>
      <c r="C223" s="372"/>
      <c r="D223" s="398" t="str">
        <f>nmProd1Seg3</f>
        <v>Productivity &amp; Business Consumer</v>
      </c>
      <c r="E223" s="632">
        <f t="shared" ref="E223:N223" si="110">finPNLProd1Seg3TotalCOGs</f>
        <v>19920750.631936204</v>
      </c>
      <c r="F223" s="632">
        <f t="shared" si="110"/>
        <v>19920750.631936204</v>
      </c>
      <c r="G223" s="632">
        <f t="shared" si="110"/>
        <v>19920750.631936204</v>
      </c>
      <c r="H223" s="632">
        <f t="shared" si="110"/>
        <v>19920750.631936204</v>
      </c>
      <c r="I223" s="632">
        <f t="shared" si="110"/>
        <v>19920750.631936204</v>
      </c>
      <c r="J223" s="632">
        <f t="shared" si="110"/>
        <v>19920750.631936204</v>
      </c>
      <c r="K223" s="632">
        <f t="shared" si="110"/>
        <v>19920750.631936204</v>
      </c>
      <c r="L223" s="632">
        <f t="shared" si="110"/>
        <v>19920750.631936204</v>
      </c>
      <c r="M223" s="632">
        <f t="shared" si="110"/>
        <v>19920750.631936204</v>
      </c>
      <c r="N223" s="632">
        <f t="shared" si="110"/>
        <v>19920750.631936204</v>
      </c>
      <c r="O223" s="372"/>
      <c r="P223" s="372"/>
    </row>
    <row r="224" spans="1:16" ht="16.8">
      <c r="A224" s="372"/>
      <c r="B224" s="372"/>
      <c r="C224" s="372"/>
      <c r="D224" s="398" t="str">
        <f>nmProd2Seg1</f>
        <v>Intelligent Cloud Enterprise</v>
      </c>
      <c r="E224" s="632">
        <f t="shared" ref="E224:N224" si="111">finPNLProd2Seg1TotalCOGs</f>
        <v>31461966.001724847</v>
      </c>
      <c r="F224" s="632">
        <f t="shared" si="111"/>
        <v>31461966.001724847</v>
      </c>
      <c r="G224" s="632">
        <f t="shared" si="111"/>
        <v>31461966.001724847</v>
      </c>
      <c r="H224" s="632">
        <f t="shared" si="111"/>
        <v>31461966.001724847</v>
      </c>
      <c r="I224" s="632">
        <f t="shared" si="111"/>
        <v>31461966.001724847</v>
      </c>
      <c r="J224" s="632">
        <f t="shared" si="111"/>
        <v>31461966.001724847</v>
      </c>
      <c r="K224" s="632">
        <f t="shared" si="111"/>
        <v>31461966.001724847</v>
      </c>
      <c r="L224" s="632">
        <f t="shared" si="111"/>
        <v>31461966.001724847</v>
      </c>
      <c r="M224" s="632">
        <f t="shared" si="111"/>
        <v>31461966.001724847</v>
      </c>
      <c r="N224" s="632">
        <f t="shared" si="111"/>
        <v>31461966.001724847</v>
      </c>
      <c r="O224" s="372"/>
      <c r="P224" s="372"/>
    </row>
    <row r="225" spans="1:16" ht="16.8">
      <c r="A225" s="372"/>
      <c r="B225" s="372"/>
      <c r="C225" s="372"/>
      <c r="D225" s="398" t="str">
        <f>nmProd2Seg2</f>
        <v>Intelligent Cloud SMC</v>
      </c>
      <c r="E225" s="632">
        <f t="shared" ref="E225:N225" si="112">finPNLProd2Seg2TotalCOGs</f>
        <v>46897310.223600596</v>
      </c>
      <c r="F225" s="632">
        <f t="shared" si="112"/>
        <v>46897310.223600596</v>
      </c>
      <c r="G225" s="632">
        <f t="shared" si="112"/>
        <v>46897310.223600596</v>
      </c>
      <c r="H225" s="632">
        <f t="shared" si="112"/>
        <v>46897310.223600596</v>
      </c>
      <c r="I225" s="632">
        <f t="shared" si="112"/>
        <v>46897310.223600596</v>
      </c>
      <c r="J225" s="632">
        <f t="shared" si="112"/>
        <v>46897310.223600596</v>
      </c>
      <c r="K225" s="632">
        <f t="shared" si="112"/>
        <v>46897310.223600596</v>
      </c>
      <c r="L225" s="632">
        <f t="shared" si="112"/>
        <v>46897310.223600596</v>
      </c>
      <c r="M225" s="632">
        <f t="shared" si="112"/>
        <v>46897310.223600596</v>
      </c>
      <c r="N225" s="632">
        <f t="shared" si="112"/>
        <v>46897310.223600596</v>
      </c>
      <c r="O225" s="372"/>
      <c r="P225" s="372"/>
    </row>
    <row r="226" spans="1:16" ht="16.8">
      <c r="A226" s="372"/>
      <c r="B226" s="372"/>
      <c r="C226" s="372"/>
      <c r="D226" s="398" t="str">
        <f>nmProd3Seg1</f>
        <v>Personal Computing Enterprise</v>
      </c>
      <c r="E226" s="632">
        <f t="shared" ref="E226:N226" si="113">finPNLProd3Seg1TotalCOGs</f>
        <v>64897256.160000004</v>
      </c>
      <c r="F226" s="632">
        <f t="shared" si="113"/>
        <v>64897256.160000004</v>
      </c>
      <c r="G226" s="632">
        <f t="shared" si="113"/>
        <v>64897256.160000004</v>
      </c>
      <c r="H226" s="632">
        <f t="shared" si="113"/>
        <v>64897256.160000004</v>
      </c>
      <c r="I226" s="632">
        <f t="shared" si="113"/>
        <v>64897256.160000004</v>
      </c>
      <c r="J226" s="632">
        <f t="shared" si="113"/>
        <v>64897256.160000004</v>
      </c>
      <c r="K226" s="632">
        <f t="shared" si="113"/>
        <v>64897256.160000004</v>
      </c>
      <c r="L226" s="632">
        <f t="shared" si="113"/>
        <v>64897256.160000004</v>
      </c>
      <c r="M226" s="632">
        <f t="shared" si="113"/>
        <v>64897256.160000004</v>
      </c>
      <c r="N226" s="632">
        <f t="shared" si="113"/>
        <v>64897256.160000004</v>
      </c>
      <c r="O226" s="372"/>
      <c r="P226" s="372"/>
    </row>
    <row r="227" spans="1:16" ht="16.8">
      <c r="A227" s="372"/>
      <c r="B227" s="372"/>
      <c r="C227" s="372"/>
      <c r="D227" s="398" t="str">
        <f>nmProd3Seg2</f>
        <v>Personal Computing SMC</v>
      </c>
      <c r="E227" s="632">
        <f t="shared" ref="E227:N227" si="114">finPNLProd3Seg2TotalCOGs</f>
        <v>54080959.680000007</v>
      </c>
      <c r="F227" s="632">
        <f t="shared" si="114"/>
        <v>54080959.680000007</v>
      </c>
      <c r="G227" s="632">
        <f t="shared" si="114"/>
        <v>54080959.680000007</v>
      </c>
      <c r="H227" s="632">
        <f t="shared" si="114"/>
        <v>54080959.680000007</v>
      </c>
      <c r="I227" s="632">
        <f t="shared" si="114"/>
        <v>54080959.680000007</v>
      </c>
      <c r="J227" s="632">
        <f t="shared" si="114"/>
        <v>54080959.680000007</v>
      </c>
      <c r="K227" s="632">
        <f t="shared" si="114"/>
        <v>54080959.680000007</v>
      </c>
      <c r="L227" s="632">
        <f t="shared" si="114"/>
        <v>54080959.680000007</v>
      </c>
      <c r="M227" s="632">
        <f t="shared" si="114"/>
        <v>54080959.680000007</v>
      </c>
      <c r="N227" s="632">
        <f t="shared" si="114"/>
        <v>54080959.680000007</v>
      </c>
      <c r="O227" s="372"/>
      <c r="P227" s="372"/>
    </row>
    <row r="228" spans="1:16" ht="16.8">
      <c r="A228" s="372"/>
      <c r="B228" s="372"/>
      <c r="C228" s="372"/>
      <c r="D228" s="398" t="str">
        <f>nmProd3Seg3</f>
        <v>Personal Computing Consumer</v>
      </c>
      <c r="E228" s="632">
        <f t="shared" ref="E228:N228" si="115">finPNLProd3Seg3TotalCOGs</f>
        <v>97345971.360000014</v>
      </c>
      <c r="F228" s="632">
        <f t="shared" si="115"/>
        <v>97345971.360000014</v>
      </c>
      <c r="G228" s="632">
        <f t="shared" si="115"/>
        <v>97345971.360000014</v>
      </c>
      <c r="H228" s="632">
        <f t="shared" si="115"/>
        <v>97345971.360000014</v>
      </c>
      <c r="I228" s="632">
        <f t="shared" si="115"/>
        <v>97345971.360000014</v>
      </c>
      <c r="J228" s="632">
        <f t="shared" si="115"/>
        <v>97345971.360000014</v>
      </c>
      <c r="K228" s="632">
        <f t="shared" si="115"/>
        <v>97345971.360000014</v>
      </c>
      <c r="L228" s="632">
        <f t="shared" si="115"/>
        <v>97345971.360000014</v>
      </c>
      <c r="M228" s="632">
        <f t="shared" si="115"/>
        <v>97345971.360000014</v>
      </c>
      <c r="N228" s="632">
        <f t="shared" si="115"/>
        <v>97345971.360000014</v>
      </c>
      <c r="O228" s="372"/>
      <c r="P228" s="372"/>
    </row>
    <row r="229" spans="1:16" s="399" customFormat="1" ht="2.1" customHeight="1">
      <c r="A229" s="402"/>
      <c r="B229" s="304"/>
      <c r="C229" s="372"/>
      <c r="D229" s="401"/>
      <c r="E229" s="633"/>
      <c r="F229" s="634"/>
      <c r="G229" s="634"/>
      <c r="H229" s="634"/>
      <c r="I229" s="635"/>
      <c r="J229" s="633"/>
      <c r="K229" s="634"/>
      <c r="L229" s="634"/>
      <c r="M229" s="634"/>
      <c r="N229" s="635"/>
      <c r="O229" s="372"/>
      <c r="P229" s="400"/>
    </row>
    <row r="230" spans="1:16" ht="16.8">
      <c r="A230" s="372"/>
      <c r="B230" s="372"/>
      <c r="C230" s="372"/>
      <c r="D230" s="372" t="s">
        <v>50</v>
      </c>
      <c r="E230" s="636">
        <f t="shared" ref="E230:N230" si="116">SUM(E221:E229)</f>
        <v>357450646.13475424</v>
      </c>
      <c r="F230" s="636">
        <f t="shared" si="116"/>
        <v>357450646.13475424</v>
      </c>
      <c r="G230" s="636">
        <f t="shared" si="116"/>
        <v>357450646.13475424</v>
      </c>
      <c r="H230" s="636">
        <f t="shared" si="116"/>
        <v>357450646.13475424</v>
      </c>
      <c r="I230" s="636">
        <f t="shared" si="116"/>
        <v>357450646.13475424</v>
      </c>
      <c r="J230" s="636">
        <f t="shared" si="116"/>
        <v>357450646.13475424</v>
      </c>
      <c r="K230" s="636">
        <f t="shared" si="116"/>
        <v>357450646.13475424</v>
      </c>
      <c r="L230" s="636">
        <f t="shared" si="116"/>
        <v>357450646.13475424</v>
      </c>
      <c r="M230" s="636">
        <f t="shared" si="116"/>
        <v>357450646.13475424</v>
      </c>
      <c r="N230" s="636">
        <f t="shared" si="116"/>
        <v>357450646.13475424</v>
      </c>
      <c r="O230" s="372" t="s">
        <v>1954</v>
      </c>
      <c r="P230" s="372"/>
    </row>
    <row r="231" spans="1:16" ht="16.8">
      <c r="A231" s="372"/>
      <c r="B231" s="372"/>
      <c r="C231" s="372"/>
      <c r="D231" s="372"/>
      <c r="E231" s="638"/>
      <c r="F231" s="638"/>
      <c r="G231" s="638"/>
      <c r="H231" s="638"/>
      <c r="I231" s="638"/>
      <c r="J231" s="638"/>
      <c r="K231" s="638"/>
      <c r="L231" s="638"/>
      <c r="M231" s="638"/>
      <c r="N231" s="638"/>
      <c r="O231" s="372"/>
      <c r="P231" s="372"/>
    </row>
    <row r="232" spans="1:16" ht="16.8">
      <c r="A232" s="372"/>
      <c r="B232" s="372"/>
      <c r="C232" s="393" t="s">
        <v>206</v>
      </c>
      <c r="D232" s="372"/>
      <c r="E232" s="638"/>
      <c r="F232" s="638"/>
      <c r="G232" s="638"/>
      <c r="H232" s="638"/>
      <c r="I232" s="638"/>
      <c r="J232" s="638"/>
      <c r="K232" s="638"/>
      <c r="L232" s="638"/>
      <c r="M232" s="638"/>
      <c r="N232" s="638"/>
      <c r="O232" s="372"/>
      <c r="P232" s="372"/>
    </row>
    <row r="233" spans="1:16" ht="16.8">
      <c r="A233" s="372"/>
      <c r="B233" s="372"/>
      <c r="C233" s="372"/>
      <c r="D233" s="398" t="str">
        <f>nmProd1Seg1</f>
        <v>Productivity &amp; Business Enterprise</v>
      </c>
      <c r="E233" s="632">
        <f t="shared" ref="E233:N233" si="117">finPNLProd1Seg1GrossProfit</f>
        <v>110483362.43663287</v>
      </c>
      <c r="F233" s="632">
        <f t="shared" si="117"/>
        <v>110483362.43663287</v>
      </c>
      <c r="G233" s="632">
        <f t="shared" si="117"/>
        <v>110483362.43663287</v>
      </c>
      <c r="H233" s="632">
        <f t="shared" si="117"/>
        <v>110483362.43663287</v>
      </c>
      <c r="I233" s="632">
        <f t="shared" si="117"/>
        <v>110483362.43663287</v>
      </c>
      <c r="J233" s="632">
        <f t="shared" si="117"/>
        <v>110483362.43663287</v>
      </c>
      <c r="K233" s="632">
        <f t="shared" si="117"/>
        <v>110483362.43663287</v>
      </c>
      <c r="L233" s="632">
        <f t="shared" si="117"/>
        <v>110483362.43663287</v>
      </c>
      <c r="M233" s="632">
        <f t="shared" si="117"/>
        <v>110483362.43663287</v>
      </c>
      <c r="N233" s="632">
        <f t="shared" si="117"/>
        <v>110483362.43663287</v>
      </c>
      <c r="O233" s="372"/>
      <c r="P233" s="372"/>
    </row>
    <row r="234" spans="1:16" ht="16.8">
      <c r="A234" s="372"/>
      <c r="B234" s="372"/>
      <c r="C234" s="372"/>
      <c r="D234" s="398" t="str">
        <f>nmProd1Seg2</f>
        <v>Productivity &amp; Business SMC</v>
      </c>
      <c r="E234" s="632">
        <f t="shared" ref="E234:N234" si="118">finPNLProd1Seg2GrossProfit</f>
        <v>82247514.850534961</v>
      </c>
      <c r="F234" s="632">
        <f t="shared" si="118"/>
        <v>82247514.850534961</v>
      </c>
      <c r="G234" s="632">
        <f t="shared" si="118"/>
        <v>82247514.850534961</v>
      </c>
      <c r="H234" s="632">
        <f t="shared" si="118"/>
        <v>82247514.850534961</v>
      </c>
      <c r="I234" s="632">
        <f t="shared" si="118"/>
        <v>82247514.850534961</v>
      </c>
      <c r="J234" s="632">
        <f t="shared" si="118"/>
        <v>82247514.850534961</v>
      </c>
      <c r="K234" s="632">
        <f t="shared" si="118"/>
        <v>82247514.850534961</v>
      </c>
      <c r="L234" s="632">
        <f t="shared" si="118"/>
        <v>82247514.850534961</v>
      </c>
      <c r="M234" s="632">
        <f t="shared" si="118"/>
        <v>82247514.850534961</v>
      </c>
      <c r="N234" s="632">
        <f t="shared" si="118"/>
        <v>82247514.850534961</v>
      </c>
      <c r="O234" s="372"/>
      <c r="P234" s="372"/>
    </row>
    <row r="235" spans="1:16" ht="16.8">
      <c r="A235" s="372"/>
      <c r="B235" s="372"/>
      <c r="C235" s="372"/>
      <c r="D235" s="398" t="str">
        <f>nmProd1Seg3</f>
        <v>Productivity &amp; Business Consumer</v>
      </c>
      <c r="E235" s="632">
        <f t="shared" ref="E235:N235" si="119">finPNLProd1Seg3GrossProfit</f>
        <v>97914909.761737108</v>
      </c>
      <c r="F235" s="632">
        <f t="shared" si="119"/>
        <v>97914909.761737108</v>
      </c>
      <c r="G235" s="632">
        <f t="shared" si="119"/>
        <v>97914909.761737108</v>
      </c>
      <c r="H235" s="632">
        <f t="shared" si="119"/>
        <v>97914909.761737108</v>
      </c>
      <c r="I235" s="632">
        <f t="shared" si="119"/>
        <v>97914909.761737108</v>
      </c>
      <c r="J235" s="632">
        <f t="shared" si="119"/>
        <v>97914909.761737108</v>
      </c>
      <c r="K235" s="632">
        <f t="shared" si="119"/>
        <v>97914909.761737108</v>
      </c>
      <c r="L235" s="632">
        <f t="shared" si="119"/>
        <v>97914909.761737108</v>
      </c>
      <c r="M235" s="632">
        <f t="shared" si="119"/>
        <v>97914909.761737108</v>
      </c>
      <c r="N235" s="632">
        <f t="shared" si="119"/>
        <v>97914909.761737108</v>
      </c>
      <c r="O235" s="372"/>
      <c r="P235" s="372"/>
    </row>
    <row r="236" spans="1:16" ht="16.8">
      <c r="A236" s="372"/>
      <c r="B236" s="372"/>
      <c r="C236" s="372"/>
      <c r="D236" s="398" t="str">
        <f>nmProd2Seg1</f>
        <v>Intelligent Cloud Enterprise</v>
      </c>
      <c r="E236" s="632">
        <f t="shared" ref="E236:N236" si="120">finPNLProd2Seg1GrossProfit</f>
        <v>111980418.26260167</v>
      </c>
      <c r="F236" s="632">
        <f t="shared" si="120"/>
        <v>111980418.26260167</v>
      </c>
      <c r="G236" s="632">
        <f t="shared" si="120"/>
        <v>111980418.26260167</v>
      </c>
      <c r="H236" s="632">
        <f t="shared" si="120"/>
        <v>111980418.26260167</v>
      </c>
      <c r="I236" s="632">
        <f t="shared" si="120"/>
        <v>111980418.26260167</v>
      </c>
      <c r="J236" s="632">
        <f t="shared" si="120"/>
        <v>111980418.26260167</v>
      </c>
      <c r="K236" s="632">
        <f t="shared" si="120"/>
        <v>111980418.26260167</v>
      </c>
      <c r="L236" s="632">
        <f t="shared" si="120"/>
        <v>111980418.26260167</v>
      </c>
      <c r="M236" s="632">
        <f t="shared" si="120"/>
        <v>111980418.26260167</v>
      </c>
      <c r="N236" s="632">
        <f t="shared" si="120"/>
        <v>111980418.26260167</v>
      </c>
      <c r="O236" s="372"/>
      <c r="P236" s="372"/>
    </row>
    <row r="237" spans="1:16" ht="16.8">
      <c r="A237" s="372"/>
      <c r="B237" s="372"/>
      <c r="C237" s="372"/>
      <c r="D237" s="398" t="str">
        <f>nmProd2Seg2</f>
        <v>Intelligent Cloud SMC</v>
      </c>
      <c r="E237" s="632">
        <f t="shared" ref="E237:N237" si="121">finPNLProd2Seg2GrossProfit</f>
        <v>145914572.18307301</v>
      </c>
      <c r="F237" s="632">
        <f t="shared" si="121"/>
        <v>145914572.18307301</v>
      </c>
      <c r="G237" s="632">
        <f t="shared" si="121"/>
        <v>145914572.18307301</v>
      </c>
      <c r="H237" s="632">
        <f t="shared" si="121"/>
        <v>145914572.18307301</v>
      </c>
      <c r="I237" s="632">
        <f t="shared" si="121"/>
        <v>145914572.18307301</v>
      </c>
      <c r="J237" s="632">
        <f t="shared" si="121"/>
        <v>145914572.18307301</v>
      </c>
      <c r="K237" s="632">
        <f t="shared" si="121"/>
        <v>145914572.18307301</v>
      </c>
      <c r="L237" s="632">
        <f t="shared" si="121"/>
        <v>145914572.18307301</v>
      </c>
      <c r="M237" s="632">
        <f t="shared" si="121"/>
        <v>145914572.18307301</v>
      </c>
      <c r="N237" s="632">
        <f t="shared" si="121"/>
        <v>145914572.18307301</v>
      </c>
      <c r="O237" s="372"/>
      <c r="P237" s="372"/>
    </row>
    <row r="238" spans="1:16" ht="16.8">
      <c r="A238" s="372"/>
      <c r="B238" s="372"/>
      <c r="C238" s="372"/>
      <c r="D238" s="398" t="str">
        <f>nmProd3Seg1</f>
        <v>Personal Computing Enterprise</v>
      </c>
      <c r="E238" s="632">
        <f t="shared" ref="E238:N238" si="122">finPNLProd3Seg1GrossProfit</f>
        <v>53097755.040000014</v>
      </c>
      <c r="F238" s="632">
        <f t="shared" si="122"/>
        <v>53097755.040000014</v>
      </c>
      <c r="G238" s="632">
        <f t="shared" si="122"/>
        <v>53097755.040000014</v>
      </c>
      <c r="H238" s="632">
        <f t="shared" si="122"/>
        <v>53097755.040000014</v>
      </c>
      <c r="I238" s="632">
        <f t="shared" si="122"/>
        <v>53097755.040000014</v>
      </c>
      <c r="J238" s="632">
        <f t="shared" si="122"/>
        <v>53097755.040000014</v>
      </c>
      <c r="K238" s="632">
        <f t="shared" si="122"/>
        <v>53097755.040000014</v>
      </c>
      <c r="L238" s="632">
        <f t="shared" si="122"/>
        <v>53097755.040000014</v>
      </c>
      <c r="M238" s="632">
        <f t="shared" si="122"/>
        <v>53097755.040000014</v>
      </c>
      <c r="N238" s="632">
        <f t="shared" si="122"/>
        <v>53097755.040000014</v>
      </c>
      <c r="O238" s="372"/>
      <c r="P238" s="372"/>
    </row>
    <row r="239" spans="1:16" ht="16.8">
      <c r="A239" s="372"/>
      <c r="B239" s="372"/>
      <c r="C239" s="372"/>
      <c r="D239" s="398" t="str">
        <f>nmProd3Seg2</f>
        <v>Personal Computing SMC</v>
      </c>
      <c r="E239" s="632">
        <f t="shared" ref="E239:N239" si="123">finPNLProd3Seg2GrossProfit</f>
        <v>44248057.920000017</v>
      </c>
      <c r="F239" s="632">
        <f t="shared" si="123"/>
        <v>44248057.920000017</v>
      </c>
      <c r="G239" s="632">
        <f t="shared" si="123"/>
        <v>44248057.920000017</v>
      </c>
      <c r="H239" s="632">
        <f t="shared" si="123"/>
        <v>44248057.920000017</v>
      </c>
      <c r="I239" s="632">
        <f t="shared" si="123"/>
        <v>44248057.920000017</v>
      </c>
      <c r="J239" s="632">
        <f t="shared" si="123"/>
        <v>44248057.920000017</v>
      </c>
      <c r="K239" s="632">
        <f t="shared" si="123"/>
        <v>44248057.920000017</v>
      </c>
      <c r="L239" s="632">
        <f t="shared" si="123"/>
        <v>44248057.920000017</v>
      </c>
      <c r="M239" s="632">
        <f t="shared" si="123"/>
        <v>44248057.920000017</v>
      </c>
      <c r="N239" s="632">
        <f t="shared" si="123"/>
        <v>44248057.920000017</v>
      </c>
      <c r="O239" s="372"/>
      <c r="P239" s="372"/>
    </row>
    <row r="240" spans="1:16" ht="16.8">
      <c r="A240" s="372"/>
      <c r="B240" s="372"/>
      <c r="C240" s="372"/>
      <c r="D240" s="398" t="str">
        <f>nmProd3Seg3</f>
        <v>Personal Computing Consumer</v>
      </c>
      <c r="E240" s="632">
        <f t="shared" ref="E240:N240" si="124">finPNLProd3Seg3GrossProfit</f>
        <v>79646703.840000033</v>
      </c>
      <c r="F240" s="632">
        <f t="shared" si="124"/>
        <v>79646703.840000033</v>
      </c>
      <c r="G240" s="632">
        <f t="shared" si="124"/>
        <v>79646703.840000033</v>
      </c>
      <c r="H240" s="632">
        <f t="shared" si="124"/>
        <v>79646703.840000033</v>
      </c>
      <c r="I240" s="632">
        <f t="shared" si="124"/>
        <v>79646703.840000033</v>
      </c>
      <c r="J240" s="632">
        <f t="shared" si="124"/>
        <v>79646703.840000033</v>
      </c>
      <c r="K240" s="632">
        <f t="shared" si="124"/>
        <v>79646703.840000033</v>
      </c>
      <c r="L240" s="632">
        <f t="shared" si="124"/>
        <v>79646703.840000033</v>
      </c>
      <c r="M240" s="632">
        <f t="shared" si="124"/>
        <v>79646703.840000033</v>
      </c>
      <c r="N240" s="632">
        <f t="shared" si="124"/>
        <v>79646703.840000033</v>
      </c>
      <c r="O240" s="372"/>
      <c r="P240" s="372"/>
    </row>
    <row r="241" spans="1:16" s="399" customFormat="1" ht="2.1" customHeight="1">
      <c r="A241" s="402"/>
      <c r="B241" s="304"/>
      <c r="C241" s="372"/>
      <c r="D241" s="401"/>
      <c r="E241" s="633"/>
      <c r="F241" s="634"/>
      <c r="G241" s="634"/>
      <c r="H241" s="634"/>
      <c r="I241" s="635"/>
      <c r="J241" s="633"/>
      <c r="K241" s="634"/>
      <c r="L241" s="634"/>
      <c r="M241" s="634"/>
      <c r="N241" s="635"/>
      <c r="O241" s="372"/>
      <c r="P241" s="400"/>
    </row>
    <row r="242" spans="1:16" ht="16.8">
      <c r="A242" s="372"/>
      <c r="B242" s="372"/>
      <c r="C242" s="372"/>
      <c r="D242" s="372" t="s">
        <v>50</v>
      </c>
      <c r="E242" s="636">
        <f t="shared" ref="E242:N242" si="125">SUM(E233:E241)</f>
        <v>725533294.29457963</v>
      </c>
      <c r="F242" s="636">
        <f t="shared" si="125"/>
        <v>725533294.29457963</v>
      </c>
      <c r="G242" s="636">
        <f t="shared" si="125"/>
        <v>725533294.29457963</v>
      </c>
      <c r="H242" s="636">
        <f t="shared" si="125"/>
        <v>725533294.29457963</v>
      </c>
      <c r="I242" s="636">
        <f t="shared" si="125"/>
        <v>725533294.29457963</v>
      </c>
      <c r="J242" s="636">
        <f t="shared" si="125"/>
        <v>725533294.29457963</v>
      </c>
      <c r="K242" s="636">
        <f t="shared" si="125"/>
        <v>725533294.29457963</v>
      </c>
      <c r="L242" s="636">
        <f t="shared" si="125"/>
        <v>725533294.29457963</v>
      </c>
      <c r="M242" s="636">
        <f t="shared" si="125"/>
        <v>725533294.29457963</v>
      </c>
      <c r="N242" s="636">
        <f t="shared" si="125"/>
        <v>725533294.29457963</v>
      </c>
      <c r="O242" s="372" t="s">
        <v>1955</v>
      </c>
      <c r="P242" s="372"/>
    </row>
    <row r="243" spans="1:16" ht="16.8">
      <c r="A243" s="372"/>
      <c r="B243" s="372"/>
      <c r="C243" s="372"/>
      <c r="D243" s="371" t="s">
        <v>208</v>
      </c>
      <c r="E243" s="407">
        <f t="shared" ref="E243:N243" si="126">finPNLTotalGrossProfit/finPNLTotalRev</f>
        <v>0.6699391073213441</v>
      </c>
      <c r="F243" s="407">
        <f t="shared" si="126"/>
        <v>0.6699391073213441</v>
      </c>
      <c r="G243" s="407">
        <f t="shared" si="126"/>
        <v>0.6699391073213441</v>
      </c>
      <c r="H243" s="407">
        <f t="shared" si="126"/>
        <v>0.6699391073213441</v>
      </c>
      <c r="I243" s="407">
        <f t="shared" si="126"/>
        <v>0.6699391073213441</v>
      </c>
      <c r="J243" s="407">
        <f t="shared" si="126"/>
        <v>0.6699391073213441</v>
      </c>
      <c r="K243" s="407">
        <f t="shared" si="126"/>
        <v>0.6699391073213441</v>
      </c>
      <c r="L243" s="407">
        <f t="shared" si="126"/>
        <v>0.6699391073213441</v>
      </c>
      <c r="M243" s="407">
        <f t="shared" si="126"/>
        <v>0.6699391073213441</v>
      </c>
      <c r="N243" s="407">
        <f t="shared" si="126"/>
        <v>0.6699391073213441</v>
      </c>
      <c r="O243" s="372" t="s">
        <v>1956</v>
      </c>
      <c r="P243" s="372"/>
    </row>
    <row r="244" spans="1:16" ht="16.8">
      <c r="A244" s="372"/>
      <c r="B244" s="372"/>
      <c r="C244" s="372"/>
      <c r="D244" s="372"/>
      <c r="E244" s="373"/>
      <c r="F244" s="373"/>
      <c r="G244" s="373"/>
      <c r="H244" s="373"/>
      <c r="I244" s="373"/>
      <c r="J244" s="373"/>
      <c r="K244" s="373"/>
      <c r="L244" s="373"/>
      <c r="M244" s="373"/>
      <c r="N244" s="373"/>
      <c r="O244" s="372"/>
      <c r="P244" s="372"/>
    </row>
    <row r="245" spans="1:16" ht="16.8">
      <c r="A245" s="372"/>
      <c r="B245" s="372"/>
      <c r="C245" s="393" t="s">
        <v>897</v>
      </c>
      <c r="D245" s="372"/>
      <c r="E245" s="1215"/>
      <c r="F245" s="373"/>
      <c r="G245" s="373"/>
      <c r="H245" s="373"/>
      <c r="I245" s="373"/>
      <c r="J245" s="373"/>
      <c r="K245" s="373"/>
      <c r="L245" s="373"/>
      <c r="M245" s="373"/>
      <c r="N245" s="373"/>
      <c r="O245" s="372"/>
      <c r="P245" s="372"/>
    </row>
    <row r="246" spans="1:16" ht="16.8">
      <c r="A246" s="372"/>
      <c r="B246" s="372"/>
      <c r="C246" s="372"/>
      <c r="D246" s="629" t="s">
        <v>1583</v>
      </c>
      <c r="E246" s="637">
        <f t="shared" ref="E246:N246" si="127">calcOpsTotalMarketingExp</f>
        <v>1500000</v>
      </c>
      <c r="F246" s="637">
        <f t="shared" si="127"/>
        <v>1500000</v>
      </c>
      <c r="G246" s="637">
        <f t="shared" si="127"/>
        <v>1500000</v>
      </c>
      <c r="H246" s="637">
        <f t="shared" si="127"/>
        <v>1500000</v>
      </c>
      <c r="I246" s="637">
        <f t="shared" si="127"/>
        <v>1500000</v>
      </c>
      <c r="J246" s="637">
        <f t="shared" si="127"/>
        <v>1500000</v>
      </c>
      <c r="K246" s="637">
        <f t="shared" si="127"/>
        <v>1500000</v>
      </c>
      <c r="L246" s="637">
        <f t="shared" si="127"/>
        <v>1500000</v>
      </c>
      <c r="M246" s="637">
        <f t="shared" si="127"/>
        <v>1500000</v>
      </c>
      <c r="N246" s="637">
        <f t="shared" si="127"/>
        <v>1500000</v>
      </c>
      <c r="O246" s="629" t="s">
        <v>2667</v>
      </c>
      <c r="P246" s="371" t="s">
        <v>854</v>
      </c>
    </row>
    <row r="247" spans="1:16" ht="16.8">
      <c r="A247" s="372"/>
      <c r="B247" s="372"/>
      <c r="C247" s="372"/>
      <c r="D247" s="629" t="s">
        <v>1073</v>
      </c>
      <c r="E247" s="637">
        <f t="shared" ref="E247:N247" si="128">calcCommercialDirectSalesSalary+calcConsumerDirectSalesSalary</f>
        <v>44000000</v>
      </c>
      <c r="F247" s="637">
        <f t="shared" si="128"/>
        <v>44000000</v>
      </c>
      <c r="G247" s="637">
        <f t="shared" si="128"/>
        <v>44000000</v>
      </c>
      <c r="H247" s="637">
        <f t="shared" si="128"/>
        <v>44000000</v>
      </c>
      <c r="I247" s="637">
        <f t="shared" si="128"/>
        <v>44000000</v>
      </c>
      <c r="J247" s="637">
        <f t="shared" si="128"/>
        <v>44000000</v>
      </c>
      <c r="K247" s="637">
        <f t="shared" si="128"/>
        <v>44000000</v>
      </c>
      <c r="L247" s="637">
        <f t="shared" si="128"/>
        <v>44000000</v>
      </c>
      <c r="M247" s="637">
        <f t="shared" si="128"/>
        <v>44000000</v>
      </c>
      <c r="N247" s="637">
        <f t="shared" si="128"/>
        <v>44000000</v>
      </c>
      <c r="O247" s="629" t="s">
        <v>1957</v>
      </c>
      <c r="P247" s="371" t="s">
        <v>894</v>
      </c>
    </row>
    <row r="248" spans="1:16" ht="16.8">
      <c r="A248" s="372"/>
      <c r="B248" s="372"/>
      <c r="C248" s="372"/>
      <c r="D248" s="629" t="s">
        <v>1074</v>
      </c>
      <c r="E248" s="637">
        <f t="shared" ref="E248:N248" si="129">calcCommercialInsideSalesSalary+calcConsumerInsideSalesSalary</f>
        <v>17200000</v>
      </c>
      <c r="F248" s="637">
        <f t="shared" si="129"/>
        <v>17200000</v>
      </c>
      <c r="G248" s="637">
        <f t="shared" si="129"/>
        <v>17200000</v>
      </c>
      <c r="H248" s="637">
        <f t="shared" si="129"/>
        <v>17200000</v>
      </c>
      <c r="I248" s="637">
        <f t="shared" si="129"/>
        <v>17200000</v>
      </c>
      <c r="J248" s="637">
        <f t="shared" si="129"/>
        <v>17200000</v>
      </c>
      <c r="K248" s="637">
        <f t="shared" si="129"/>
        <v>17200000</v>
      </c>
      <c r="L248" s="637">
        <f t="shared" si="129"/>
        <v>17200000</v>
      </c>
      <c r="M248" s="637">
        <f t="shared" si="129"/>
        <v>17200000</v>
      </c>
      <c r="N248" s="637">
        <f t="shared" si="129"/>
        <v>17200000</v>
      </c>
      <c r="O248" s="629" t="s">
        <v>1958</v>
      </c>
      <c r="P248" s="371" t="s">
        <v>894</v>
      </c>
    </row>
    <row r="249" spans="1:16" ht="16.8">
      <c r="A249" s="372"/>
      <c r="B249" s="372"/>
      <c r="C249" s="372"/>
      <c r="D249" s="629" t="s">
        <v>1075</v>
      </c>
      <c r="E249" s="637">
        <f t="shared" ref="E249:N249" si="130">calcCommercialServicesPremierSalary+calcConsumerServicesSalary</f>
        <v>20000000</v>
      </c>
      <c r="F249" s="637">
        <f t="shared" si="130"/>
        <v>20000000</v>
      </c>
      <c r="G249" s="637">
        <f t="shared" si="130"/>
        <v>20000000</v>
      </c>
      <c r="H249" s="637">
        <f t="shared" si="130"/>
        <v>20000000</v>
      </c>
      <c r="I249" s="637">
        <f t="shared" si="130"/>
        <v>20000000</v>
      </c>
      <c r="J249" s="637">
        <f t="shared" si="130"/>
        <v>20000000</v>
      </c>
      <c r="K249" s="637">
        <f t="shared" si="130"/>
        <v>20000000</v>
      </c>
      <c r="L249" s="637">
        <f t="shared" si="130"/>
        <v>20000000</v>
      </c>
      <c r="M249" s="637">
        <f t="shared" si="130"/>
        <v>20000000</v>
      </c>
      <c r="N249" s="637">
        <f t="shared" si="130"/>
        <v>20000000</v>
      </c>
      <c r="O249" s="629" t="s">
        <v>1959</v>
      </c>
      <c r="P249" s="371" t="s">
        <v>894</v>
      </c>
    </row>
    <row r="250" spans="1:16" ht="16.8">
      <c r="A250" s="372"/>
      <c r="B250" s="372"/>
      <c r="C250" s="372"/>
      <c r="D250" s="629" t="s">
        <v>1588</v>
      </c>
      <c r="E250" s="637">
        <f t="shared" ref="E250:N250" si="131">calcCommercialPartnerSalary+calcConsumerPartnerSalary</f>
        <v>0</v>
      </c>
      <c r="F250" s="637">
        <f t="shared" si="131"/>
        <v>0</v>
      </c>
      <c r="G250" s="637">
        <f t="shared" si="131"/>
        <v>0</v>
      </c>
      <c r="H250" s="637">
        <f t="shared" si="131"/>
        <v>0</v>
      </c>
      <c r="I250" s="637">
        <f t="shared" si="131"/>
        <v>0</v>
      </c>
      <c r="J250" s="637">
        <f t="shared" si="131"/>
        <v>0</v>
      </c>
      <c r="K250" s="637">
        <f t="shared" si="131"/>
        <v>0</v>
      </c>
      <c r="L250" s="637">
        <f t="shared" si="131"/>
        <v>0</v>
      </c>
      <c r="M250" s="637">
        <f t="shared" si="131"/>
        <v>0</v>
      </c>
      <c r="N250" s="637">
        <f t="shared" si="131"/>
        <v>0</v>
      </c>
      <c r="O250" s="629" t="s">
        <v>1960</v>
      </c>
      <c r="P250" s="371" t="s">
        <v>894</v>
      </c>
    </row>
    <row r="251" spans="1:16" ht="16.8">
      <c r="A251" s="372"/>
      <c r="B251" s="372"/>
      <c r="C251" s="372"/>
      <c r="D251" s="629" t="s">
        <v>1098</v>
      </c>
      <c r="E251" s="637">
        <f t="shared" ref="E251:N251" si="132">calcCommercialPartnerDevelopmentExp+calcCommercialPartnerIncentivesExp+calcCommercialPartnerEducationExp+calcCommercialFixedPartnerExp+calcConsumerPartnerDevelopmentExp+calcConsumerPartnerIncentivesExp+calcConsumerPartnerEducationExp+calcConsumerFixedPartnerExp</f>
        <v>5000000</v>
      </c>
      <c r="F251" s="637">
        <f t="shared" si="132"/>
        <v>5000000</v>
      </c>
      <c r="G251" s="637">
        <f t="shared" si="132"/>
        <v>5000000</v>
      </c>
      <c r="H251" s="637">
        <f t="shared" si="132"/>
        <v>5000000</v>
      </c>
      <c r="I251" s="637">
        <f t="shared" si="132"/>
        <v>5000000</v>
      </c>
      <c r="J251" s="637">
        <f t="shared" si="132"/>
        <v>5000000</v>
      </c>
      <c r="K251" s="637">
        <f t="shared" si="132"/>
        <v>5000000</v>
      </c>
      <c r="L251" s="637">
        <f t="shared" si="132"/>
        <v>5000000</v>
      </c>
      <c r="M251" s="637">
        <f t="shared" si="132"/>
        <v>5000000</v>
      </c>
      <c r="N251" s="637">
        <f t="shared" si="132"/>
        <v>5000000</v>
      </c>
      <c r="O251" s="629" t="s">
        <v>2668</v>
      </c>
      <c r="P251" s="371" t="s">
        <v>894</v>
      </c>
    </row>
    <row r="252" spans="1:16" s="399" customFormat="1" ht="2.1" customHeight="1">
      <c r="A252" s="402"/>
      <c r="B252" s="304"/>
      <c r="C252" s="372"/>
      <c r="D252" s="401"/>
      <c r="E252" s="633"/>
      <c r="F252" s="634"/>
      <c r="G252" s="634"/>
      <c r="H252" s="634"/>
      <c r="I252" s="635"/>
      <c r="J252" s="633"/>
      <c r="K252" s="634"/>
      <c r="L252" s="634"/>
      <c r="M252" s="634"/>
      <c r="N252" s="635"/>
      <c r="O252" s="725"/>
      <c r="P252" s="400"/>
    </row>
    <row r="253" spans="1:16" ht="16.8">
      <c r="A253" s="372"/>
      <c r="B253" s="372"/>
      <c r="C253" s="372"/>
      <c r="D253" s="372" t="s">
        <v>50</v>
      </c>
      <c r="E253" s="636">
        <f t="shared" ref="E253:N253" si="133">SUM(E246:E252)</f>
        <v>87700000</v>
      </c>
      <c r="F253" s="636">
        <f t="shared" si="133"/>
        <v>87700000</v>
      </c>
      <c r="G253" s="636">
        <f t="shared" si="133"/>
        <v>87700000</v>
      </c>
      <c r="H253" s="636">
        <f t="shared" si="133"/>
        <v>87700000</v>
      </c>
      <c r="I253" s="636">
        <f t="shared" si="133"/>
        <v>87700000</v>
      </c>
      <c r="J253" s="636">
        <f t="shared" si="133"/>
        <v>87700000</v>
      </c>
      <c r="K253" s="636">
        <f t="shared" si="133"/>
        <v>87700000</v>
      </c>
      <c r="L253" s="636">
        <f t="shared" si="133"/>
        <v>87700000</v>
      </c>
      <c r="M253" s="636">
        <f t="shared" si="133"/>
        <v>87700000</v>
      </c>
      <c r="N253" s="636">
        <f t="shared" si="133"/>
        <v>87700000</v>
      </c>
      <c r="O253" s="372" t="s">
        <v>1961</v>
      </c>
      <c r="P253" s="372"/>
    </row>
    <row r="254" spans="1:16" ht="16.8">
      <c r="A254" s="372"/>
      <c r="B254" s="372"/>
      <c r="C254" s="372"/>
      <c r="D254" s="371" t="s">
        <v>896</v>
      </c>
      <c r="E254" s="407">
        <f t="shared" ref="E254:N254" si="134">finPNLTotalMSExp/finPNLTotalRev</f>
        <v>8.0979963530421833E-2</v>
      </c>
      <c r="F254" s="407">
        <f t="shared" si="134"/>
        <v>8.0979963530421833E-2</v>
      </c>
      <c r="G254" s="407">
        <f t="shared" si="134"/>
        <v>8.0979963530421833E-2</v>
      </c>
      <c r="H254" s="407">
        <f t="shared" si="134"/>
        <v>8.0979963530421833E-2</v>
      </c>
      <c r="I254" s="407">
        <f t="shared" si="134"/>
        <v>8.0979963530421833E-2</v>
      </c>
      <c r="J254" s="407">
        <f t="shared" si="134"/>
        <v>8.0979963530421833E-2</v>
      </c>
      <c r="K254" s="407">
        <f t="shared" si="134"/>
        <v>8.0979963530421833E-2</v>
      </c>
      <c r="L254" s="407">
        <f t="shared" si="134"/>
        <v>8.0979963530421833E-2</v>
      </c>
      <c r="M254" s="407">
        <f t="shared" si="134"/>
        <v>8.0979963530421833E-2</v>
      </c>
      <c r="N254" s="407">
        <f t="shared" si="134"/>
        <v>8.0979963530421833E-2</v>
      </c>
      <c r="O254" s="372" t="s">
        <v>1962</v>
      </c>
      <c r="P254" s="372"/>
    </row>
    <row r="255" spans="1:16" ht="16.8">
      <c r="A255" s="372"/>
      <c r="B255" s="372"/>
      <c r="C255" s="372"/>
      <c r="D255" s="372"/>
      <c r="E255" s="373"/>
      <c r="F255" s="373"/>
      <c r="G255" s="373"/>
      <c r="H255" s="373"/>
      <c r="I255" s="373"/>
      <c r="J255" s="373"/>
      <c r="K255" s="373"/>
      <c r="L255" s="373"/>
      <c r="M255" s="373"/>
      <c r="N255" s="373"/>
      <c r="O255" s="372"/>
      <c r="P255" s="372"/>
    </row>
    <row r="256" spans="1:16" ht="16.8">
      <c r="A256" s="372"/>
      <c r="B256" s="372"/>
      <c r="C256" s="393" t="s">
        <v>895</v>
      </c>
      <c r="D256" s="372"/>
      <c r="E256" s="373"/>
      <c r="F256" s="373"/>
      <c r="G256" s="373"/>
      <c r="H256" s="373"/>
      <c r="I256" s="373"/>
      <c r="J256" s="373"/>
      <c r="K256" s="373"/>
      <c r="L256" s="373"/>
      <c r="M256" s="373"/>
      <c r="N256" s="373"/>
      <c r="O256" s="372"/>
      <c r="P256" s="372"/>
    </row>
    <row r="257" spans="1:16" ht="16.8">
      <c r="A257" s="372"/>
      <c r="B257" s="372"/>
      <c r="C257" s="372"/>
      <c r="D257" s="629" t="s">
        <v>1082</v>
      </c>
      <c r="E257" s="637">
        <f t="shared" ref="E257:N257" si="135">calcOpsTalentSalary+calcOpsITSalary+calcOpsSupplyChainSalary+calcOpsCollabSalary</f>
        <v>2550000</v>
      </c>
      <c r="F257" s="637">
        <f t="shared" si="135"/>
        <v>2550000</v>
      </c>
      <c r="G257" s="637">
        <f t="shared" si="135"/>
        <v>2550000</v>
      </c>
      <c r="H257" s="637">
        <f t="shared" si="135"/>
        <v>2550000</v>
      </c>
      <c r="I257" s="637">
        <f t="shared" si="135"/>
        <v>2550000</v>
      </c>
      <c r="J257" s="637">
        <f t="shared" si="135"/>
        <v>2550000</v>
      </c>
      <c r="K257" s="637">
        <f t="shared" si="135"/>
        <v>2550000</v>
      </c>
      <c r="L257" s="637">
        <f t="shared" si="135"/>
        <v>2550000</v>
      </c>
      <c r="M257" s="637">
        <f t="shared" si="135"/>
        <v>2550000</v>
      </c>
      <c r="N257" s="637">
        <f t="shared" si="135"/>
        <v>2550000</v>
      </c>
      <c r="O257" s="629" t="s">
        <v>2670</v>
      </c>
      <c r="P257" s="371" t="s">
        <v>854</v>
      </c>
    </row>
    <row r="258" spans="1:16" ht="16.8">
      <c r="A258" s="372"/>
      <c r="B258" s="372"/>
      <c r="C258" s="372"/>
      <c r="D258" s="629" t="s">
        <v>1080</v>
      </c>
      <c r="E258" s="637">
        <f t="shared" ref="E258:N258" si="136">IF(calcFTEsRemaining&lt;=0,0,calcOpsUnallocatedSalary)</f>
        <v>52500000</v>
      </c>
      <c r="F258" s="637">
        <f t="shared" si="136"/>
        <v>52500000</v>
      </c>
      <c r="G258" s="637">
        <f t="shared" si="136"/>
        <v>52500000</v>
      </c>
      <c r="H258" s="637">
        <f t="shared" si="136"/>
        <v>52500000</v>
      </c>
      <c r="I258" s="637">
        <f t="shared" si="136"/>
        <v>52500000</v>
      </c>
      <c r="J258" s="637">
        <f t="shared" si="136"/>
        <v>52500000</v>
      </c>
      <c r="K258" s="637">
        <f t="shared" si="136"/>
        <v>52500000</v>
      </c>
      <c r="L258" s="637">
        <f t="shared" si="136"/>
        <v>52500000</v>
      </c>
      <c r="M258" s="637">
        <f t="shared" si="136"/>
        <v>52500000</v>
      </c>
      <c r="N258" s="637">
        <f t="shared" si="136"/>
        <v>52500000</v>
      </c>
      <c r="O258" s="629" t="s">
        <v>2671</v>
      </c>
      <c r="P258" s="371" t="s">
        <v>854</v>
      </c>
    </row>
    <row r="259" spans="1:16" ht="16.8">
      <c r="A259" s="372"/>
      <c r="B259" s="372"/>
      <c r="C259" s="372"/>
      <c r="D259" s="629" t="s">
        <v>457</v>
      </c>
      <c r="E259" s="637">
        <f t="shared" ref="E259:N259" si="137">calcCommercialSkill1Exp+calcCommercialSkill2Exp+calcCommercialSkill3Exp+calcConsumerSkill1Exp+calcConsumerSkill2Exp</f>
        <v>0</v>
      </c>
      <c r="F259" s="637">
        <f t="shared" si="137"/>
        <v>0</v>
      </c>
      <c r="G259" s="637">
        <f t="shared" si="137"/>
        <v>0</v>
      </c>
      <c r="H259" s="637">
        <f t="shared" si="137"/>
        <v>0</v>
      </c>
      <c r="I259" s="637">
        <f t="shared" si="137"/>
        <v>0</v>
      </c>
      <c r="J259" s="637">
        <f t="shared" si="137"/>
        <v>0</v>
      </c>
      <c r="K259" s="637">
        <f t="shared" si="137"/>
        <v>0</v>
      </c>
      <c r="L259" s="637">
        <f t="shared" si="137"/>
        <v>0</v>
      </c>
      <c r="M259" s="637">
        <f t="shared" si="137"/>
        <v>0</v>
      </c>
      <c r="N259" s="637">
        <f t="shared" si="137"/>
        <v>0</v>
      </c>
      <c r="O259" s="629" t="s">
        <v>2672</v>
      </c>
      <c r="P259" s="371" t="s">
        <v>894</v>
      </c>
    </row>
    <row r="260" spans="1:16" ht="16.8">
      <c r="A260" s="372"/>
      <c r="B260" s="372"/>
      <c r="C260" s="372"/>
      <c r="D260" s="629" t="s">
        <v>2243</v>
      </c>
      <c r="E260" s="637">
        <f t="shared" ref="E260:N260" si="138">paramChallengeCosts</f>
        <v>0</v>
      </c>
      <c r="F260" s="637">
        <f t="shared" si="138"/>
        <v>0</v>
      </c>
      <c r="G260" s="637">
        <f t="shared" si="138"/>
        <v>0</v>
      </c>
      <c r="H260" s="637">
        <f t="shared" si="138"/>
        <v>0</v>
      </c>
      <c r="I260" s="637">
        <f t="shared" si="138"/>
        <v>0</v>
      </c>
      <c r="J260" s="637">
        <f t="shared" si="138"/>
        <v>0</v>
      </c>
      <c r="K260" s="637">
        <f t="shared" si="138"/>
        <v>0</v>
      </c>
      <c r="L260" s="637">
        <f t="shared" si="138"/>
        <v>0</v>
      </c>
      <c r="M260" s="637">
        <f t="shared" si="138"/>
        <v>0</v>
      </c>
      <c r="N260" s="637">
        <f t="shared" si="138"/>
        <v>0</v>
      </c>
      <c r="O260" s="629" t="s">
        <v>2669</v>
      </c>
      <c r="P260" s="371" t="s">
        <v>894</v>
      </c>
    </row>
    <row r="261" spans="1:16" s="399" customFormat="1" ht="2.1" customHeight="1">
      <c r="A261" s="402"/>
      <c r="B261" s="304"/>
      <c r="C261" s="372"/>
      <c r="D261" s="401"/>
      <c r="E261" s="633"/>
      <c r="F261" s="634"/>
      <c r="G261" s="634"/>
      <c r="H261" s="634"/>
      <c r="I261" s="635"/>
      <c r="J261" s="633"/>
      <c r="K261" s="634"/>
      <c r="L261" s="634"/>
      <c r="M261" s="634"/>
      <c r="N261" s="635"/>
      <c r="O261" s="725"/>
      <c r="P261" s="400"/>
    </row>
    <row r="262" spans="1:16" ht="16.8">
      <c r="A262" s="372"/>
      <c r="B262" s="372"/>
      <c r="C262" s="372"/>
      <c r="D262" s="372" t="s">
        <v>50</v>
      </c>
      <c r="E262" s="636">
        <f t="shared" ref="E262:N262" si="139">SUM(E257:E259)</f>
        <v>55050000</v>
      </c>
      <c r="F262" s="636">
        <f t="shared" si="139"/>
        <v>55050000</v>
      </c>
      <c r="G262" s="636">
        <f t="shared" si="139"/>
        <v>55050000</v>
      </c>
      <c r="H262" s="636">
        <f t="shared" si="139"/>
        <v>55050000</v>
      </c>
      <c r="I262" s="636">
        <f t="shared" si="139"/>
        <v>55050000</v>
      </c>
      <c r="J262" s="636">
        <f t="shared" si="139"/>
        <v>55050000</v>
      </c>
      <c r="K262" s="636">
        <f t="shared" si="139"/>
        <v>55050000</v>
      </c>
      <c r="L262" s="636">
        <f t="shared" si="139"/>
        <v>55050000</v>
      </c>
      <c r="M262" s="636">
        <f t="shared" si="139"/>
        <v>55050000</v>
      </c>
      <c r="N262" s="636">
        <f t="shared" si="139"/>
        <v>55050000</v>
      </c>
      <c r="O262" s="372" t="s">
        <v>1963</v>
      </c>
      <c r="P262" s="372"/>
    </row>
    <row r="263" spans="1:16" ht="16.8">
      <c r="A263" s="372"/>
      <c r="B263" s="372"/>
      <c r="C263" s="372"/>
      <c r="D263" s="371" t="s">
        <v>893</v>
      </c>
      <c r="E263" s="407">
        <f t="shared" ref="E263:N263" si="140">finPNLTotalGAExp/finPNLTotalRev</f>
        <v>5.0831778704101736E-2</v>
      </c>
      <c r="F263" s="407">
        <f t="shared" si="140"/>
        <v>5.0831778704101736E-2</v>
      </c>
      <c r="G263" s="407">
        <f t="shared" si="140"/>
        <v>5.0831778704101736E-2</v>
      </c>
      <c r="H263" s="407">
        <f t="shared" si="140"/>
        <v>5.0831778704101736E-2</v>
      </c>
      <c r="I263" s="407">
        <f t="shared" si="140"/>
        <v>5.0831778704101736E-2</v>
      </c>
      <c r="J263" s="407">
        <f t="shared" si="140"/>
        <v>5.0831778704101736E-2</v>
      </c>
      <c r="K263" s="407">
        <f t="shared" si="140"/>
        <v>5.0831778704101736E-2</v>
      </c>
      <c r="L263" s="407">
        <f t="shared" si="140"/>
        <v>5.0831778704101736E-2</v>
      </c>
      <c r="M263" s="407">
        <f t="shared" si="140"/>
        <v>5.0831778704101736E-2</v>
      </c>
      <c r="N263" s="407">
        <f t="shared" si="140"/>
        <v>5.0831778704101736E-2</v>
      </c>
      <c r="O263" s="372" t="s">
        <v>1964</v>
      </c>
      <c r="P263" s="372"/>
    </row>
    <row r="264" spans="1:16" ht="16.8">
      <c r="A264" s="372"/>
      <c r="B264" s="372"/>
      <c r="C264" s="372"/>
      <c r="D264" s="372"/>
      <c r="E264" s="373"/>
      <c r="F264" s="373"/>
      <c r="G264" s="373"/>
      <c r="H264" s="373"/>
      <c r="I264" s="373"/>
      <c r="J264" s="373"/>
      <c r="K264" s="373"/>
      <c r="L264" s="373"/>
      <c r="M264" s="373"/>
      <c r="N264" s="373"/>
      <c r="O264" s="372"/>
      <c r="P264" s="372"/>
    </row>
    <row r="265" spans="1:16" ht="16.8">
      <c r="A265" s="372"/>
      <c r="B265" s="372"/>
      <c r="C265" s="393" t="s">
        <v>396</v>
      </c>
      <c r="D265" s="372"/>
      <c r="E265" s="373"/>
      <c r="F265" s="373"/>
      <c r="G265" s="373"/>
      <c r="H265" s="373"/>
      <c r="I265" s="373"/>
      <c r="J265" s="373"/>
      <c r="K265" s="373"/>
      <c r="L265" s="373"/>
      <c r="M265" s="373"/>
      <c r="N265" s="373"/>
      <c r="O265" s="372"/>
      <c r="P265" s="372"/>
    </row>
    <row r="266" spans="1:16" ht="16.8">
      <c r="A266" s="372"/>
      <c r="B266" s="372"/>
      <c r="C266" s="372"/>
      <c r="D266" s="372" t="s">
        <v>892</v>
      </c>
      <c r="E266" s="636">
        <f t="shared" ref="E266:N266" si="141">finPNLTotalCOGS+finPNLTotalMSExp+finPNLTotalGAExp</f>
        <v>500200646.13475424</v>
      </c>
      <c r="F266" s="636">
        <f t="shared" si="141"/>
        <v>500200646.13475424</v>
      </c>
      <c r="G266" s="636">
        <f t="shared" si="141"/>
        <v>500200646.13475424</v>
      </c>
      <c r="H266" s="636">
        <f t="shared" si="141"/>
        <v>500200646.13475424</v>
      </c>
      <c r="I266" s="636">
        <f t="shared" si="141"/>
        <v>500200646.13475424</v>
      </c>
      <c r="J266" s="636">
        <f t="shared" si="141"/>
        <v>500200646.13475424</v>
      </c>
      <c r="K266" s="636">
        <f t="shared" si="141"/>
        <v>500200646.13475424</v>
      </c>
      <c r="L266" s="636">
        <f t="shared" si="141"/>
        <v>500200646.13475424</v>
      </c>
      <c r="M266" s="636">
        <f t="shared" si="141"/>
        <v>500200646.13475424</v>
      </c>
      <c r="N266" s="636">
        <f t="shared" si="141"/>
        <v>500200646.13475424</v>
      </c>
      <c r="O266" s="372" t="s">
        <v>1965</v>
      </c>
      <c r="P266" s="371"/>
    </row>
    <row r="267" spans="1:16" s="399" customFormat="1" ht="2.1" customHeight="1">
      <c r="A267" s="402"/>
      <c r="B267" s="304"/>
      <c r="C267" s="372"/>
      <c r="D267" s="401"/>
      <c r="E267" s="633"/>
      <c r="F267" s="634"/>
      <c r="G267" s="634"/>
      <c r="H267" s="634"/>
      <c r="I267" s="635"/>
      <c r="J267" s="633"/>
      <c r="K267" s="634"/>
      <c r="L267" s="634"/>
      <c r="M267" s="634"/>
      <c r="N267" s="635"/>
      <c r="O267" s="725"/>
      <c r="P267" s="400"/>
    </row>
    <row r="268" spans="1:16" ht="16.8">
      <c r="A268" s="372"/>
      <c r="B268" s="372"/>
      <c r="C268" s="372"/>
      <c r="D268" s="372" t="s">
        <v>396</v>
      </c>
      <c r="E268" s="636">
        <f t="shared" ref="E268:N268" si="142">finPNLTotalRev-finPNLTotalOpex</f>
        <v>582783294.29457974</v>
      </c>
      <c r="F268" s="636">
        <f t="shared" si="142"/>
        <v>582783294.29457974</v>
      </c>
      <c r="G268" s="636">
        <f t="shared" si="142"/>
        <v>582783294.29457974</v>
      </c>
      <c r="H268" s="636">
        <f t="shared" si="142"/>
        <v>582783294.29457974</v>
      </c>
      <c r="I268" s="636">
        <f t="shared" si="142"/>
        <v>582783294.29457974</v>
      </c>
      <c r="J268" s="636">
        <f t="shared" si="142"/>
        <v>582783294.29457974</v>
      </c>
      <c r="K268" s="636">
        <f t="shared" si="142"/>
        <v>582783294.29457974</v>
      </c>
      <c r="L268" s="636">
        <f t="shared" si="142"/>
        <v>582783294.29457974</v>
      </c>
      <c r="M268" s="636">
        <f t="shared" si="142"/>
        <v>582783294.29457974</v>
      </c>
      <c r="N268" s="636">
        <f t="shared" si="142"/>
        <v>582783294.29457974</v>
      </c>
      <c r="O268" s="372" t="s">
        <v>1966</v>
      </c>
      <c r="P268" s="372"/>
    </row>
    <row r="269" spans="1:16" ht="16.8">
      <c r="A269" s="372"/>
      <c r="B269" s="372"/>
      <c r="C269" s="372"/>
      <c r="D269" s="371" t="s">
        <v>891</v>
      </c>
      <c r="E269" s="407">
        <f t="shared" ref="E269:N269" si="143">finPNLTotalOpsProfit/finPNLTotalRev</f>
        <v>0.53812736508682057</v>
      </c>
      <c r="F269" s="407">
        <f t="shared" si="143"/>
        <v>0.53812736508682057</v>
      </c>
      <c r="G269" s="407">
        <f t="shared" si="143"/>
        <v>0.53812736508682057</v>
      </c>
      <c r="H269" s="407">
        <f t="shared" si="143"/>
        <v>0.53812736508682057</v>
      </c>
      <c r="I269" s="407">
        <f t="shared" si="143"/>
        <v>0.53812736508682057</v>
      </c>
      <c r="J269" s="407">
        <f t="shared" si="143"/>
        <v>0.53812736508682057</v>
      </c>
      <c r="K269" s="407">
        <f t="shared" si="143"/>
        <v>0.53812736508682057</v>
      </c>
      <c r="L269" s="407">
        <f t="shared" si="143"/>
        <v>0.53812736508682057</v>
      </c>
      <c r="M269" s="407">
        <f t="shared" si="143"/>
        <v>0.53812736508682057</v>
      </c>
      <c r="N269" s="407">
        <f t="shared" si="143"/>
        <v>0.53812736508682057</v>
      </c>
      <c r="O269" s="372" t="s">
        <v>1967</v>
      </c>
      <c r="P269" s="372"/>
    </row>
    <row r="272" spans="1:16" s="382" customFormat="1" ht="13.8">
      <c r="B272" s="384" t="s">
        <v>1638</v>
      </c>
      <c r="C272" s="384"/>
      <c r="D272" s="384"/>
      <c r="E272" s="383"/>
      <c r="F272" s="383"/>
      <c r="G272" s="383"/>
      <c r="H272" s="383"/>
      <c r="I272" s="383"/>
      <c r="J272" s="383"/>
      <c r="K272" s="383"/>
      <c r="L272" s="383"/>
      <c r="M272" s="383"/>
      <c r="N272" s="383"/>
      <c r="O272" s="726"/>
    </row>
    <row r="274" spans="1:16" ht="16.8">
      <c r="A274" s="372"/>
      <c r="B274" s="372"/>
      <c r="C274" s="393" t="s">
        <v>1634</v>
      </c>
      <c r="D274" s="372"/>
      <c r="E274" s="373"/>
      <c r="F274" s="373"/>
      <c r="G274" s="373"/>
      <c r="H274" s="373"/>
      <c r="I274" s="373"/>
      <c r="J274" s="373"/>
      <c r="K274" s="373"/>
      <c r="L274" s="373"/>
      <c r="M274" s="373"/>
      <c r="N274" s="373"/>
      <c r="O274" s="372"/>
      <c r="P274" s="372"/>
    </row>
    <row r="275" spans="1:16" ht="16.8">
      <c r="A275" s="372"/>
      <c r="B275" s="372"/>
      <c r="C275" s="372"/>
      <c r="D275" s="372" t="str">
        <f>nmProd1</f>
        <v>Productivity &amp; Business</v>
      </c>
      <c r="E275" s="636">
        <f t="shared" ref="E275:N275" si="144">finPNLProd1Seg1TotalRev+finPNLProd1Seg2TotalRev+finPNLProd1Seg3TotalRev</f>
        <v>353412969.75833368</v>
      </c>
      <c r="F275" s="636">
        <f t="shared" si="144"/>
        <v>353412969.75833368</v>
      </c>
      <c r="G275" s="636">
        <f t="shared" si="144"/>
        <v>353412969.75833368</v>
      </c>
      <c r="H275" s="636">
        <f t="shared" si="144"/>
        <v>353412969.75833368</v>
      </c>
      <c r="I275" s="636">
        <f t="shared" si="144"/>
        <v>353412969.75833368</v>
      </c>
      <c r="J275" s="636">
        <f t="shared" si="144"/>
        <v>353412969.75833368</v>
      </c>
      <c r="K275" s="636">
        <f t="shared" si="144"/>
        <v>353412969.75833368</v>
      </c>
      <c r="L275" s="636">
        <f t="shared" si="144"/>
        <v>353412969.75833368</v>
      </c>
      <c r="M275" s="636">
        <f t="shared" si="144"/>
        <v>353412969.75833368</v>
      </c>
      <c r="N275" s="636">
        <f t="shared" si="144"/>
        <v>353412969.75833368</v>
      </c>
      <c r="O275" s="372" t="s">
        <v>1968</v>
      </c>
      <c r="P275" s="371"/>
    </row>
    <row r="276" spans="1:16" ht="16.8">
      <c r="A276" s="372"/>
      <c r="B276" s="372"/>
      <c r="C276" s="372"/>
      <c r="D276" s="372" t="str">
        <f>nmProd2</f>
        <v>Intelligent Cloud</v>
      </c>
      <c r="E276" s="636">
        <f t="shared" ref="E276:N276" si="145">finPNLProd2Seg1TotalRev+finPNLProd2Seg2TotalRev</f>
        <v>336254266.67100012</v>
      </c>
      <c r="F276" s="636">
        <f t="shared" si="145"/>
        <v>336254266.67100012</v>
      </c>
      <c r="G276" s="636">
        <f t="shared" si="145"/>
        <v>336254266.67100012</v>
      </c>
      <c r="H276" s="636">
        <f t="shared" si="145"/>
        <v>336254266.67100012</v>
      </c>
      <c r="I276" s="636">
        <f t="shared" si="145"/>
        <v>336254266.67100012</v>
      </c>
      <c r="J276" s="636">
        <f t="shared" si="145"/>
        <v>336254266.67100012</v>
      </c>
      <c r="K276" s="636">
        <f t="shared" si="145"/>
        <v>336254266.67100012</v>
      </c>
      <c r="L276" s="636">
        <f t="shared" si="145"/>
        <v>336254266.67100012</v>
      </c>
      <c r="M276" s="636">
        <f t="shared" si="145"/>
        <v>336254266.67100012</v>
      </c>
      <c r="N276" s="636">
        <f t="shared" si="145"/>
        <v>336254266.67100012</v>
      </c>
      <c r="O276" s="372" t="s">
        <v>1969</v>
      </c>
      <c r="P276" s="371"/>
    </row>
    <row r="277" spans="1:16" ht="16.8">
      <c r="A277" s="372"/>
      <c r="B277" s="372"/>
      <c r="C277" s="372"/>
      <c r="D277" s="372" t="str">
        <f>nmProd3</f>
        <v>Personal Computing</v>
      </c>
      <c r="E277" s="636">
        <f t="shared" ref="E277:N277" si="146">finPNLProd3Seg1TotalRev+finPNLProd3Seg2TotalRev+finPNLProd3Seg3TotalRev</f>
        <v>393316704.00000012</v>
      </c>
      <c r="F277" s="636">
        <f t="shared" si="146"/>
        <v>393316704.00000012</v>
      </c>
      <c r="G277" s="636">
        <f t="shared" si="146"/>
        <v>393316704.00000012</v>
      </c>
      <c r="H277" s="636">
        <f t="shared" si="146"/>
        <v>393316704.00000012</v>
      </c>
      <c r="I277" s="636">
        <f t="shared" si="146"/>
        <v>393316704.00000012</v>
      </c>
      <c r="J277" s="636">
        <f t="shared" si="146"/>
        <v>393316704.00000012</v>
      </c>
      <c r="K277" s="636">
        <f t="shared" si="146"/>
        <v>393316704.00000012</v>
      </c>
      <c r="L277" s="636">
        <f t="shared" si="146"/>
        <v>393316704.00000012</v>
      </c>
      <c r="M277" s="636">
        <f t="shared" si="146"/>
        <v>393316704.00000012</v>
      </c>
      <c r="N277" s="636">
        <f t="shared" si="146"/>
        <v>393316704.00000012</v>
      </c>
      <c r="O277" s="372" t="s">
        <v>1970</v>
      </c>
      <c r="P277" s="371"/>
    </row>
    <row r="278" spans="1:16" ht="16.8">
      <c r="A278" s="372"/>
      <c r="B278" s="372"/>
      <c r="C278" s="372"/>
      <c r="D278" s="393" t="s">
        <v>903</v>
      </c>
      <c r="E278" s="697">
        <f>SUM(E275:E277)</f>
        <v>1082983940.4293339</v>
      </c>
      <c r="F278" s="697">
        <f t="shared" ref="F278:N278" si="147">SUM(F275:F277)</f>
        <v>1082983940.4293339</v>
      </c>
      <c r="G278" s="697">
        <f t="shared" si="147"/>
        <v>1082983940.4293339</v>
      </c>
      <c r="H278" s="697">
        <f t="shared" si="147"/>
        <v>1082983940.4293339</v>
      </c>
      <c r="I278" s="697">
        <f t="shared" si="147"/>
        <v>1082983940.4293339</v>
      </c>
      <c r="J278" s="697">
        <f t="shared" si="147"/>
        <v>1082983940.4293339</v>
      </c>
      <c r="K278" s="697">
        <f t="shared" si="147"/>
        <v>1082983940.4293339</v>
      </c>
      <c r="L278" s="697">
        <f t="shared" si="147"/>
        <v>1082983940.4293339</v>
      </c>
      <c r="M278" s="697">
        <f t="shared" si="147"/>
        <v>1082983940.4293339</v>
      </c>
      <c r="N278" s="697">
        <f t="shared" si="147"/>
        <v>1082983940.4293339</v>
      </c>
      <c r="O278" s="372"/>
      <c r="P278" s="371"/>
    </row>
    <row r="280" spans="1:16" ht="16.8">
      <c r="A280" s="372"/>
      <c r="B280" s="372"/>
      <c r="C280" s="393" t="s">
        <v>1637</v>
      </c>
      <c r="D280" s="372"/>
      <c r="E280" s="373"/>
      <c r="F280" s="373"/>
      <c r="G280" s="373"/>
      <c r="H280" s="373"/>
      <c r="I280" s="373"/>
      <c r="J280" s="373"/>
      <c r="K280" s="373"/>
      <c r="L280" s="373"/>
      <c r="M280" s="373"/>
      <c r="N280" s="373"/>
      <c r="O280" s="372"/>
      <c r="P280" s="372"/>
    </row>
    <row r="281" spans="1:16" ht="16.8">
      <c r="A281" s="372"/>
      <c r="B281" s="372"/>
      <c r="C281" s="372"/>
      <c r="D281" s="372" t="str">
        <f>nmProd1</f>
        <v>Productivity &amp; Business</v>
      </c>
      <c r="E281" s="636">
        <f t="shared" ref="E281:N281" si="148">finPNLProd1Seg1GrossProfit+finPNLProd1Seg2GrossProfit+finPNLProd1Seg3GrossProfit</f>
        <v>290645787.04890496</v>
      </c>
      <c r="F281" s="636">
        <f t="shared" si="148"/>
        <v>290645787.04890496</v>
      </c>
      <c r="G281" s="636">
        <f t="shared" si="148"/>
        <v>290645787.04890496</v>
      </c>
      <c r="H281" s="636">
        <f t="shared" si="148"/>
        <v>290645787.04890496</v>
      </c>
      <c r="I281" s="636">
        <f t="shared" si="148"/>
        <v>290645787.04890496</v>
      </c>
      <c r="J281" s="636">
        <f t="shared" si="148"/>
        <v>290645787.04890496</v>
      </c>
      <c r="K281" s="636">
        <f t="shared" si="148"/>
        <v>290645787.04890496</v>
      </c>
      <c r="L281" s="636">
        <f t="shared" si="148"/>
        <v>290645787.04890496</v>
      </c>
      <c r="M281" s="636">
        <f t="shared" si="148"/>
        <v>290645787.04890496</v>
      </c>
      <c r="N281" s="636">
        <f t="shared" si="148"/>
        <v>290645787.04890496</v>
      </c>
      <c r="O281" s="372" t="s">
        <v>1971</v>
      </c>
      <c r="P281" s="371"/>
    </row>
    <row r="282" spans="1:16" ht="16.8">
      <c r="A282" s="372"/>
      <c r="B282" s="372"/>
      <c r="C282" s="372"/>
      <c r="D282" s="372" t="str">
        <f>nmProd2</f>
        <v>Intelligent Cloud</v>
      </c>
      <c r="E282" s="636">
        <f t="shared" ref="E282:N282" si="149">finPNLProd2Seg1GrossProfit+finPNLProd2Seg2GrossProfit</f>
        <v>257894990.44567469</v>
      </c>
      <c r="F282" s="636">
        <f t="shared" si="149"/>
        <v>257894990.44567469</v>
      </c>
      <c r="G282" s="636">
        <f t="shared" si="149"/>
        <v>257894990.44567469</v>
      </c>
      <c r="H282" s="636">
        <f t="shared" si="149"/>
        <v>257894990.44567469</v>
      </c>
      <c r="I282" s="636">
        <f t="shared" si="149"/>
        <v>257894990.44567469</v>
      </c>
      <c r="J282" s="636">
        <f t="shared" si="149"/>
        <v>257894990.44567469</v>
      </c>
      <c r="K282" s="636">
        <f t="shared" si="149"/>
        <v>257894990.44567469</v>
      </c>
      <c r="L282" s="636">
        <f t="shared" si="149"/>
        <v>257894990.44567469</v>
      </c>
      <c r="M282" s="636">
        <f t="shared" si="149"/>
        <v>257894990.44567469</v>
      </c>
      <c r="N282" s="636">
        <f t="shared" si="149"/>
        <v>257894990.44567469</v>
      </c>
      <c r="O282" s="372" t="s">
        <v>1972</v>
      </c>
      <c r="P282" s="371"/>
    </row>
    <row r="283" spans="1:16" ht="16.8">
      <c r="A283" s="372"/>
      <c r="B283" s="372"/>
      <c r="C283" s="372"/>
      <c r="D283" s="372" t="str">
        <f>nmProd3</f>
        <v>Personal Computing</v>
      </c>
      <c r="E283" s="636">
        <f t="shared" ref="E283:N283" si="150">finPNLProd3Seg1GrossProfit+finPNLProd3Seg2GrossProfit+finPNLProd3Seg3GrossProfit</f>
        <v>176992516.80000007</v>
      </c>
      <c r="F283" s="636">
        <f t="shared" si="150"/>
        <v>176992516.80000007</v>
      </c>
      <c r="G283" s="636">
        <f t="shared" si="150"/>
        <v>176992516.80000007</v>
      </c>
      <c r="H283" s="636">
        <f t="shared" si="150"/>
        <v>176992516.80000007</v>
      </c>
      <c r="I283" s="636">
        <f t="shared" si="150"/>
        <v>176992516.80000007</v>
      </c>
      <c r="J283" s="636">
        <f t="shared" si="150"/>
        <v>176992516.80000007</v>
      </c>
      <c r="K283" s="636">
        <f t="shared" si="150"/>
        <v>176992516.80000007</v>
      </c>
      <c r="L283" s="636">
        <f t="shared" si="150"/>
        <v>176992516.80000007</v>
      </c>
      <c r="M283" s="636">
        <f t="shared" si="150"/>
        <v>176992516.80000007</v>
      </c>
      <c r="N283" s="636">
        <f t="shared" si="150"/>
        <v>176992516.80000007</v>
      </c>
      <c r="O283" s="372" t="s">
        <v>1973</v>
      </c>
      <c r="P283" s="371"/>
    </row>
    <row r="284" spans="1:16" ht="16.8">
      <c r="A284" s="372"/>
      <c r="B284" s="372"/>
      <c r="C284" s="372"/>
      <c r="D284" s="393" t="s">
        <v>1636</v>
      </c>
      <c r="E284" s="697">
        <f t="shared" ref="E284:N284" si="151">SUM(E281:E283)</f>
        <v>725533294.29457974</v>
      </c>
      <c r="F284" s="697">
        <f t="shared" si="151"/>
        <v>725533294.29457974</v>
      </c>
      <c r="G284" s="697">
        <f t="shared" si="151"/>
        <v>725533294.29457974</v>
      </c>
      <c r="H284" s="697">
        <f t="shared" si="151"/>
        <v>725533294.29457974</v>
      </c>
      <c r="I284" s="697">
        <f t="shared" si="151"/>
        <v>725533294.29457974</v>
      </c>
      <c r="J284" s="697">
        <f t="shared" si="151"/>
        <v>725533294.29457974</v>
      </c>
      <c r="K284" s="697">
        <f t="shared" si="151"/>
        <v>725533294.29457974</v>
      </c>
      <c r="L284" s="697">
        <f t="shared" si="151"/>
        <v>725533294.29457974</v>
      </c>
      <c r="M284" s="697">
        <f t="shared" si="151"/>
        <v>725533294.29457974</v>
      </c>
      <c r="N284" s="697">
        <f t="shared" si="151"/>
        <v>725533294.29457974</v>
      </c>
      <c r="O284" s="372"/>
      <c r="P284" s="371"/>
    </row>
    <row r="286" spans="1:16" ht="16.8">
      <c r="A286" s="372"/>
      <c r="B286" s="372"/>
      <c r="C286" s="393" t="s">
        <v>1635</v>
      </c>
      <c r="D286" s="372"/>
      <c r="E286" s="373"/>
      <c r="F286" s="373"/>
      <c r="G286" s="373"/>
      <c r="H286" s="373"/>
      <c r="I286" s="373"/>
      <c r="J286" s="373"/>
      <c r="K286" s="373"/>
      <c r="L286" s="373"/>
      <c r="M286" s="373"/>
      <c r="N286" s="373"/>
      <c r="O286" s="372"/>
      <c r="P286" s="372"/>
    </row>
    <row r="287" spans="1:16" ht="16.8">
      <c r="A287" s="372"/>
      <c r="B287" s="372"/>
      <c r="C287" s="372"/>
      <c r="D287" s="372" t="str">
        <f>nmProd1</f>
        <v>Productivity &amp; Business</v>
      </c>
      <c r="E287" s="698">
        <f>E281/E275</f>
        <v>0.82239705930331486</v>
      </c>
      <c r="F287" s="698">
        <f t="shared" ref="F287:N289" si="152">F281/F275</f>
        <v>0.82239705930331486</v>
      </c>
      <c r="G287" s="698">
        <f t="shared" si="152"/>
        <v>0.82239705930331486</v>
      </c>
      <c r="H287" s="698">
        <f t="shared" si="152"/>
        <v>0.82239705930331486</v>
      </c>
      <c r="I287" s="698">
        <f t="shared" si="152"/>
        <v>0.82239705930331486</v>
      </c>
      <c r="J287" s="698">
        <f t="shared" si="152"/>
        <v>0.82239705930331486</v>
      </c>
      <c r="K287" s="698">
        <f t="shared" si="152"/>
        <v>0.82239705930331486</v>
      </c>
      <c r="L287" s="698">
        <f t="shared" si="152"/>
        <v>0.82239705930331486</v>
      </c>
      <c r="M287" s="698">
        <f t="shared" si="152"/>
        <v>0.82239705930331486</v>
      </c>
      <c r="N287" s="698">
        <f t="shared" si="152"/>
        <v>0.82239705930331486</v>
      </c>
      <c r="O287" s="372" t="s">
        <v>1974</v>
      </c>
      <c r="P287" s="371"/>
    </row>
    <row r="288" spans="1:16" ht="16.8">
      <c r="A288" s="372"/>
      <c r="B288" s="372"/>
      <c r="C288" s="372"/>
      <c r="D288" s="372" t="str">
        <f>nmProd2</f>
        <v>Intelligent Cloud</v>
      </c>
      <c r="E288" s="698">
        <f>E282/E276</f>
        <v>0.76696421728383846</v>
      </c>
      <c r="F288" s="698">
        <f t="shared" si="152"/>
        <v>0.76696421728383846</v>
      </c>
      <c r="G288" s="698">
        <f t="shared" si="152"/>
        <v>0.76696421728383846</v>
      </c>
      <c r="H288" s="698">
        <f t="shared" si="152"/>
        <v>0.76696421728383846</v>
      </c>
      <c r="I288" s="698">
        <f t="shared" si="152"/>
        <v>0.76696421728383846</v>
      </c>
      <c r="J288" s="698">
        <f t="shared" si="152"/>
        <v>0.76696421728383846</v>
      </c>
      <c r="K288" s="698">
        <f t="shared" si="152"/>
        <v>0.76696421728383846</v>
      </c>
      <c r="L288" s="698">
        <f t="shared" si="152"/>
        <v>0.76696421728383846</v>
      </c>
      <c r="M288" s="698">
        <f t="shared" si="152"/>
        <v>0.76696421728383846</v>
      </c>
      <c r="N288" s="698">
        <f t="shared" si="152"/>
        <v>0.76696421728383846</v>
      </c>
      <c r="O288" s="372" t="s">
        <v>1975</v>
      </c>
      <c r="P288" s="371"/>
    </row>
    <row r="289" spans="1:16" ht="16.8">
      <c r="A289" s="372"/>
      <c r="B289" s="372"/>
      <c r="C289" s="372"/>
      <c r="D289" s="372" t="str">
        <f>nmProd3</f>
        <v>Personal Computing</v>
      </c>
      <c r="E289" s="698">
        <f>E283/E277</f>
        <v>0.45000000000000007</v>
      </c>
      <c r="F289" s="698">
        <f t="shared" si="152"/>
        <v>0.45000000000000007</v>
      </c>
      <c r="G289" s="698">
        <f t="shared" si="152"/>
        <v>0.45000000000000007</v>
      </c>
      <c r="H289" s="698">
        <f t="shared" si="152"/>
        <v>0.45000000000000007</v>
      </c>
      <c r="I289" s="698">
        <f t="shared" si="152"/>
        <v>0.45000000000000007</v>
      </c>
      <c r="J289" s="698">
        <f t="shared" si="152"/>
        <v>0.45000000000000007</v>
      </c>
      <c r="K289" s="698">
        <f t="shared" si="152"/>
        <v>0.45000000000000007</v>
      </c>
      <c r="L289" s="698">
        <f t="shared" si="152"/>
        <v>0.45000000000000007</v>
      </c>
      <c r="M289" s="698">
        <f t="shared" si="152"/>
        <v>0.45000000000000007</v>
      </c>
      <c r="N289" s="698">
        <f t="shared" si="152"/>
        <v>0.45000000000000007</v>
      </c>
      <c r="O289" s="372" t="s">
        <v>1976</v>
      </c>
      <c r="P289" s="371"/>
    </row>
    <row r="290" spans="1:16" ht="16.8">
      <c r="A290" s="372"/>
      <c r="B290" s="372"/>
      <c r="C290" s="372"/>
      <c r="D290" s="393" t="s">
        <v>1636</v>
      </c>
      <c r="E290" s="699">
        <f>E284/E278</f>
        <v>0.66993910732134421</v>
      </c>
      <c r="F290" s="699">
        <f t="shared" ref="F290:N290" si="153">F284/F278</f>
        <v>0.66993910732134421</v>
      </c>
      <c r="G290" s="699">
        <f t="shared" si="153"/>
        <v>0.66993910732134421</v>
      </c>
      <c r="H290" s="699">
        <f t="shared" si="153"/>
        <v>0.66993910732134421</v>
      </c>
      <c r="I290" s="699">
        <f t="shared" si="153"/>
        <v>0.66993910732134421</v>
      </c>
      <c r="J290" s="699">
        <f t="shared" si="153"/>
        <v>0.66993910732134421</v>
      </c>
      <c r="K290" s="699">
        <f t="shared" si="153"/>
        <v>0.66993910732134421</v>
      </c>
      <c r="L290" s="699">
        <f t="shared" si="153"/>
        <v>0.66993910732134421</v>
      </c>
      <c r="M290" s="699">
        <f t="shared" si="153"/>
        <v>0.66993910732134421</v>
      </c>
      <c r="N290" s="699">
        <f t="shared" si="153"/>
        <v>0.66993910732134421</v>
      </c>
      <c r="O290" s="372"/>
      <c r="P290" s="371"/>
    </row>
    <row r="292" spans="1:16" s="382" customFormat="1" ht="13.8">
      <c r="B292" s="384" t="s">
        <v>1639</v>
      </c>
      <c r="C292" s="384"/>
      <c r="D292" s="384"/>
      <c r="E292" s="383"/>
      <c r="F292" s="383"/>
      <c r="G292" s="383"/>
      <c r="H292" s="383"/>
      <c r="I292" s="383"/>
      <c r="J292" s="383"/>
      <c r="K292" s="383"/>
      <c r="L292" s="383"/>
      <c r="M292" s="383"/>
      <c r="N292" s="383"/>
      <c r="O292" s="726"/>
    </row>
    <row r="294" spans="1:16" ht="16.8">
      <c r="A294" s="372"/>
      <c r="B294" s="372"/>
      <c r="C294" s="393" t="s">
        <v>1640</v>
      </c>
      <c r="D294" s="372"/>
      <c r="E294" s="373"/>
      <c r="F294" s="373"/>
      <c r="G294" s="373"/>
      <c r="H294" s="373"/>
      <c r="I294" s="373"/>
      <c r="J294" s="373"/>
      <c r="K294" s="373"/>
      <c r="L294" s="373"/>
      <c r="M294" s="373"/>
      <c r="N294" s="373"/>
      <c r="O294" s="372"/>
      <c r="P294" s="372"/>
    </row>
    <row r="295" spans="1:16" ht="16.8">
      <c r="A295" s="372"/>
      <c r="B295" s="372"/>
      <c r="C295" s="372"/>
      <c r="D295" s="372" t="str">
        <f>nmSeg1</f>
        <v>Enterprise</v>
      </c>
      <c r="E295" s="636">
        <f t="shared" ref="E295:N295" si="154">finPNLProd1Seg1TotalRev+finPNLProd2Seg1TotalRev+finPNLProd3Seg1TotalRev</f>
        <v>394540581.76438916</v>
      </c>
      <c r="F295" s="636">
        <f t="shared" si="154"/>
        <v>394540581.76438916</v>
      </c>
      <c r="G295" s="636">
        <f t="shared" si="154"/>
        <v>394540581.76438916</v>
      </c>
      <c r="H295" s="636">
        <f t="shared" si="154"/>
        <v>394540581.76438916</v>
      </c>
      <c r="I295" s="636">
        <f t="shared" si="154"/>
        <v>394540581.76438916</v>
      </c>
      <c r="J295" s="636">
        <f t="shared" si="154"/>
        <v>394540581.76438916</v>
      </c>
      <c r="K295" s="636">
        <f t="shared" si="154"/>
        <v>394540581.76438916</v>
      </c>
      <c r="L295" s="636">
        <f t="shared" si="154"/>
        <v>394540581.76438916</v>
      </c>
      <c r="M295" s="636">
        <f t="shared" si="154"/>
        <v>394540581.76438916</v>
      </c>
      <c r="N295" s="636">
        <f t="shared" si="154"/>
        <v>394540581.76438916</v>
      </c>
      <c r="O295" s="372" t="s">
        <v>1977</v>
      </c>
      <c r="P295" s="371"/>
    </row>
    <row r="296" spans="1:16" ht="16.8">
      <c r="A296" s="372"/>
      <c r="B296" s="372"/>
      <c r="C296" s="372"/>
      <c r="D296" s="372" t="str">
        <f>nmSeg2</f>
        <v>SMC</v>
      </c>
      <c r="E296" s="636">
        <f t="shared" ref="E296:N296" si="155">finPNLProd1Seg2TotalRev+finPNLProd2Seg2TotalRev+finPNLProd3Seg2TotalRev</f>
        <v>393615023.07127142</v>
      </c>
      <c r="F296" s="636">
        <f t="shared" si="155"/>
        <v>393615023.07127142</v>
      </c>
      <c r="G296" s="636">
        <f t="shared" si="155"/>
        <v>393615023.07127142</v>
      </c>
      <c r="H296" s="636">
        <f t="shared" si="155"/>
        <v>393615023.07127142</v>
      </c>
      <c r="I296" s="636">
        <f t="shared" si="155"/>
        <v>393615023.07127142</v>
      </c>
      <c r="J296" s="636">
        <f t="shared" si="155"/>
        <v>393615023.07127142</v>
      </c>
      <c r="K296" s="636">
        <f t="shared" si="155"/>
        <v>393615023.07127142</v>
      </c>
      <c r="L296" s="636">
        <f t="shared" si="155"/>
        <v>393615023.07127142</v>
      </c>
      <c r="M296" s="636">
        <f t="shared" si="155"/>
        <v>393615023.07127142</v>
      </c>
      <c r="N296" s="636">
        <f t="shared" si="155"/>
        <v>393615023.07127142</v>
      </c>
      <c r="O296" s="372" t="s">
        <v>1978</v>
      </c>
      <c r="P296" s="371"/>
    </row>
    <row r="297" spans="1:16" ht="16.8">
      <c r="A297" s="372"/>
      <c r="B297" s="372"/>
      <c r="C297" s="372"/>
      <c r="D297" s="372" t="str">
        <f>nmSeg3</f>
        <v>Consumer</v>
      </c>
      <c r="E297" s="636">
        <f t="shared" ref="E297:N297" si="156">finPNLProd1Seg3TotalRev+finPNLProd3Seg3TotalRev</f>
        <v>294828335.59367335</v>
      </c>
      <c r="F297" s="636">
        <f t="shared" si="156"/>
        <v>294828335.59367335</v>
      </c>
      <c r="G297" s="636">
        <f t="shared" si="156"/>
        <v>294828335.59367335</v>
      </c>
      <c r="H297" s="636">
        <f t="shared" si="156"/>
        <v>294828335.59367335</v>
      </c>
      <c r="I297" s="636">
        <f t="shared" si="156"/>
        <v>294828335.59367335</v>
      </c>
      <c r="J297" s="636">
        <f t="shared" si="156"/>
        <v>294828335.59367335</v>
      </c>
      <c r="K297" s="636">
        <f t="shared" si="156"/>
        <v>294828335.59367335</v>
      </c>
      <c r="L297" s="636">
        <f t="shared" si="156"/>
        <v>294828335.59367335</v>
      </c>
      <c r="M297" s="636">
        <f t="shared" si="156"/>
        <v>294828335.59367335</v>
      </c>
      <c r="N297" s="636">
        <f t="shared" si="156"/>
        <v>294828335.59367335</v>
      </c>
      <c r="O297" s="372" t="s">
        <v>1979</v>
      </c>
      <c r="P297" s="371"/>
    </row>
    <row r="298" spans="1:16" ht="16.8">
      <c r="A298" s="372"/>
      <c r="B298" s="372"/>
      <c r="C298" s="372"/>
      <c r="D298" s="393" t="s">
        <v>903</v>
      </c>
      <c r="E298" s="697">
        <f>SUM(E295:E297)</f>
        <v>1082983940.4293339</v>
      </c>
      <c r="F298" s="697">
        <f t="shared" ref="F298:N298" si="157">SUM(F295:F297)</f>
        <v>1082983940.4293339</v>
      </c>
      <c r="G298" s="697">
        <f t="shared" si="157"/>
        <v>1082983940.4293339</v>
      </c>
      <c r="H298" s="697">
        <f t="shared" si="157"/>
        <v>1082983940.4293339</v>
      </c>
      <c r="I298" s="697">
        <f t="shared" si="157"/>
        <v>1082983940.4293339</v>
      </c>
      <c r="J298" s="697">
        <f t="shared" si="157"/>
        <v>1082983940.4293339</v>
      </c>
      <c r="K298" s="697">
        <f t="shared" si="157"/>
        <v>1082983940.4293339</v>
      </c>
      <c r="L298" s="697">
        <f t="shared" si="157"/>
        <v>1082983940.4293339</v>
      </c>
      <c r="M298" s="697">
        <f t="shared" si="157"/>
        <v>1082983940.4293339</v>
      </c>
      <c r="N298" s="697">
        <f t="shared" si="157"/>
        <v>1082983940.4293339</v>
      </c>
      <c r="O298" s="372"/>
      <c r="P298" s="371"/>
    </row>
    <row r="300" spans="1:16" ht="16.8">
      <c r="A300" s="372"/>
      <c r="B300" s="372"/>
      <c r="C300" s="393" t="s">
        <v>1641</v>
      </c>
      <c r="D300" s="372"/>
      <c r="E300" s="373"/>
      <c r="F300" s="373"/>
      <c r="G300" s="373"/>
      <c r="H300" s="373"/>
      <c r="I300" s="373"/>
      <c r="J300" s="373"/>
      <c r="K300" s="373"/>
      <c r="L300" s="373"/>
      <c r="M300" s="373"/>
      <c r="N300" s="373"/>
      <c r="O300" s="372"/>
      <c r="P300" s="372"/>
    </row>
    <row r="301" spans="1:16" ht="16.8">
      <c r="A301" s="372"/>
      <c r="B301" s="372"/>
      <c r="C301" s="372"/>
      <c r="D301" s="372" t="str">
        <f>nmSeg1</f>
        <v>Enterprise</v>
      </c>
      <c r="E301" s="636">
        <f t="shared" ref="E301:N301" si="158">finPNLProd1Seg1GrossProfit+finPNLProd2Seg1GrossProfit+finPNLProd3Seg1GrossProfit</f>
        <v>275561535.73923457</v>
      </c>
      <c r="F301" s="636">
        <f t="shared" si="158"/>
        <v>275561535.73923457</v>
      </c>
      <c r="G301" s="636">
        <f t="shared" si="158"/>
        <v>275561535.73923457</v>
      </c>
      <c r="H301" s="636">
        <f t="shared" si="158"/>
        <v>275561535.73923457</v>
      </c>
      <c r="I301" s="636">
        <f t="shared" si="158"/>
        <v>275561535.73923457</v>
      </c>
      <c r="J301" s="636">
        <f t="shared" si="158"/>
        <v>275561535.73923457</v>
      </c>
      <c r="K301" s="636">
        <f t="shared" si="158"/>
        <v>275561535.73923457</v>
      </c>
      <c r="L301" s="636">
        <f t="shared" si="158"/>
        <v>275561535.73923457</v>
      </c>
      <c r="M301" s="636">
        <f t="shared" si="158"/>
        <v>275561535.73923457</v>
      </c>
      <c r="N301" s="636">
        <f t="shared" si="158"/>
        <v>275561535.73923457</v>
      </c>
      <c r="O301" s="372" t="s">
        <v>1980</v>
      </c>
      <c r="P301" s="371"/>
    </row>
    <row r="302" spans="1:16" ht="16.8">
      <c r="A302" s="372"/>
      <c r="B302" s="372"/>
      <c r="C302" s="372"/>
      <c r="D302" s="372" t="str">
        <f>nmSeg2</f>
        <v>SMC</v>
      </c>
      <c r="E302" s="636">
        <f t="shared" ref="E302:N302" si="159">finPNLProd1Seg2GrossProfit+finPNLProd2Seg2GrossProfit+finPNLProd3Seg2GrossProfit</f>
        <v>272410144.95360798</v>
      </c>
      <c r="F302" s="636">
        <f t="shared" si="159"/>
        <v>272410144.95360798</v>
      </c>
      <c r="G302" s="636">
        <f t="shared" si="159"/>
        <v>272410144.95360798</v>
      </c>
      <c r="H302" s="636">
        <f t="shared" si="159"/>
        <v>272410144.95360798</v>
      </c>
      <c r="I302" s="636">
        <f t="shared" si="159"/>
        <v>272410144.95360798</v>
      </c>
      <c r="J302" s="636">
        <f t="shared" si="159"/>
        <v>272410144.95360798</v>
      </c>
      <c r="K302" s="636">
        <f t="shared" si="159"/>
        <v>272410144.95360798</v>
      </c>
      <c r="L302" s="636">
        <f t="shared" si="159"/>
        <v>272410144.95360798</v>
      </c>
      <c r="M302" s="636">
        <f t="shared" si="159"/>
        <v>272410144.95360798</v>
      </c>
      <c r="N302" s="636">
        <f t="shared" si="159"/>
        <v>272410144.95360798</v>
      </c>
      <c r="O302" s="372" t="s">
        <v>1981</v>
      </c>
      <c r="P302" s="371"/>
    </row>
    <row r="303" spans="1:16" ht="16.8">
      <c r="A303" s="372"/>
      <c r="B303" s="372"/>
      <c r="C303" s="372"/>
      <c r="D303" s="372" t="str">
        <f>nmSeg3</f>
        <v>Consumer</v>
      </c>
      <c r="E303" s="636">
        <f t="shared" ref="E303:N303" si="160">finPNLProd1Seg3GrossProfit+finPNLProd3Seg3GrossProfit</f>
        <v>177561613.60173714</v>
      </c>
      <c r="F303" s="636">
        <f t="shared" si="160"/>
        <v>177561613.60173714</v>
      </c>
      <c r="G303" s="636">
        <f t="shared" si="160"/>
        <v>177561613.60173714</v>
      </c>
      <c r="H303" s="636">
        <f t="shared" si="160"/>
        <v>177561613.60173714</v>
      </c>
      <c r="I303" s="636">
        <f t="shared" si="160"/>
        <v>177561613.60173714</v>
      </c>
      <c r="J303" s="636">
        <f t="shared" si="160"/>
        <v>177561613.60173714</v>
      </c>
      <c r="K303" s="636">
        <f t="shared" si="160"/>
        <v>177561613.60173714</v>
      </c>
      <c r="L303" s="636">
        <f t="shared" si="160"/>
        <v>177561613.60173714</v>
      </c>
      <c r="M303" s="636">
        <f t="shared" si="160"/>
        <v>177561613.60173714</v>
      </c>
      <c r="N303" s="636">
        <f t="shared" si="160"/>
        <v>177561613.60173714</v>
      </c>
      <c r="O303" s="372" t="s">
        <v>1982</v>
      </c>
      <c r="P303" s="371"/>
    </row>
    <row r="304" spans="1:16" ht="16.8">
      <c r="A304" s="372"/>
      <c r="B304" s="372"/>
      <c r="C304" s="372"/>
      <c r="D304" s="393" t="s">
        <v>1642</v>
      </c>
      <c r="E304" s="697">
        <f t="shared" ref="E304:N304" si="161">SUM(E301:E303)</f>
        <v>725533294.29457963</v>
      </c>
      <c r="F304" s="697">
        <f t="shared" si="161"/>
        <v>725533294.29457963</v>
      </c>
      <c r="G304" s="697">
        <f t="shared" si="161"/>
        <v>725533294.29457963</v>
      </c>
      <c r="H304" s="697">
        <f t="shared" si="161"/>
        <v>725533294.29457963</v>
      </c>
      <c r="I304" s="697">
        <f t="shared" si="161"/>
        <v>725533294.29457963</v>
      </c>
      <c r="J304" s="697">
        <f t="shared" si="161"/>
        <v>725533294.29457963</v>
      </c>
      <c r="K304" s="697">
        <f t="shared" si="161"/>
        <v>725533294.29457963</v>
      </c>
      <c r="L304" s="697">
        <f t="shared" si="161"/>
        <v>725533294.29457963</v>
      </c>
      <c r="M304" s="697">
        <f t="shared" si="161"/>
        <v>725533294.29457963</v>
      </c>
      <c r="N304" s="697">
        <f t="shared" si="161"/>
        <v>725533294.29457963</v>
      </c>
      <c r="O304" s="372"/>
      <c r="P304" s="371"/>
    </row>
    <row r="306" spans="1:16" ht="16.8">
      <c r="A306" s="372"/>
      <c r="B306" s="372"/>
      <c r="C306" s="393" t="s">
        <v>1635</v>
      </c>
      <c r="D306" s="372"/>
      <c r="E306" s="373"/>
      <c r="F306" s="373"/>
      <c r="G306" s="373"/>
      <c r="H306" s="373"/>
      <c r="I306" s="373"/>
      <c r="J306" s="373"/>
      <c r="K306" s="373"/>
      <c r="L306" s="373"/>
      <c r="M306" s="373"/>
      <c r="N306" s="373"/>
      <c r="O306" s="372"/>
      <c r="P306" s="372"/>
    </row>
    <row r="307" spans="1:16" ht="16.8">
      <c r="A307" s="372"/>
      <c r="B307" s="372"/>
      <c r="C307" s="372"/>
      <c r="D307" s="372" t="str">
        <f>nmSeg1</f>
        <v>Enterprise</v>
      </c>
      <c r="E307" s="698">
        <f>E301/E295</f>
        <v>0.69843648150697402</v>
      </c>
      <c r="F307" s="698">
        <f t="shared" ref="F307:N307" si="162">F301/F295</f>
        <v>0.69843648150697402</v>
      </c>
      <c r="G307" s="698">
        <f t="shared" si="162"/>
        <v>0.69843648150697402</v>
      </c>
      <c r="H307" s="698">
        <f t="shared" si="162"/>
        <v>0.69843648150697402</v>
      </c>
      <c r="I307" s="698">
        <f t="shared" si="162"/>
        <v>0.69843648150697402</v>
      </c>
      <c r="J307" s="698">
        <f t="shared" si="162"/>
        <v>0.69843648150697402</v>
      </c>
      <c r="K307" s="698">
        <f t="shared" si="162"/>
        <v>0.69843648150697402</v>
      </c>
      <c r="L307" s="698">
        <f t="shared" si="162"/>
        <v>0.69843648150697402</v>
      </c>
      <c r="M307" s="698">
        <f t="shared" si="162"/>
        <v>0.69843648150697402</v>
      </c>
      <c r="N307" s="698">
        <f t="shared" si="162"/>
        <v>0.69843648150697402</v>
      </c>
      <c r="O307" s="372" t="s">
        <v>1983</v>
      </c>
      <c r="P307" s="371"/>
    </row>
    <row r="308" spans="1:16" ht="16.8">
      <c r="A308" s="372"/>
      <c r="B308" s="372"/>
      <c r="C308" s="372"/>
      <c r="D308" s="372" t="str">
        <f>nmSeg2</f>
        <v>SMC</v>
      </c>
      <c r="E308" s="698">
        <f>E302/E296</f>
        <v>0.69207253023033877</v>
      </c>
      <c r="F308" s="698">
        <f t="shared" ref="F308:N308" si="163">F302/F296</f>
        <v>0.69207253023033877</v>
      </c>
      <c r="G308" s="698">
        <f t="shared" si="163"/>
        <v>0.69207253023033877</v>
      </c>
      <c r="H308" s="698">
        <f t="shared" si="163"/>
        <v>0.69207253023033877</v>
      </c>
      <c r="I308" s="698">
        <f t="shared" si="163"/>
        <v>0.69207253023033877</v>
      </c>
      <c r="J308" s="698">
        <f t="shared" si="163"/>
        <v>0.69207253023033877</v>
      </c>
      <c r="K308" s="698">
        <f t="shared" si="163"/>
        <v>0.69207253023033877</v>
      </c>
      <c r="L308" s="698">
        <f t="shared" si="163"/>
        <v>0.69207253023033877</v>
      </c>
      <c r="M308" s="698">
        <f t="shared" si="163"/>
        <v>0.69207253023033877</v>
      </c>
      <c r="N308" s="698">
        <f t="shared" si="163"/>
        <v>0.69207253023033877</v>
      </c>
      <c r="O308" s="372" t="s">
        <v>1984</v>
      </c>
      <c r="P308" s="371"/>
    </row>
    <row r="309" spans="1:16" ht="16.8">
      <c r="A309" s="372"/>
      <c r="B309" s="372"/>
      <c r="C309" s="372"/>
      <c r="D309" s="372" t="str">
        <f>nmSeg3</f>
        <v>Consumer</v>
      </c>
      <c r="E309" s="698">
        <f>E303/E297</f>
        <v>0.60225423463519834</v>
      </c>
      <c r="F309" s="698">
        <f t="shared" ref="F309:N309" si="164">F303/F297</f>
        <v>0.60225423463519834</v>
      </c>
      <c r="G309" s="698">
        <f t="shared" si="164"/>
        <v>0.60225423463519834</v>
      </c>
      <c r="H309" s="698">
        <f t="shared" si="164"/>
        <v>0.60225423463519834</v>
      </c>
      <c r="I309" s="698">
        <f t="shared" si="164"/>
        <v>0.60225423463519834</v>
      </c>
      <c r="J309" s="698">
        <f t="shared" si="164"/>
        <v>0.60225423463519834</v>
      </c>
      <c r="K309" s="698">
        <f t="shared" si="164"/>
        <v>0.60225423463519834</v>
      </c>
      <c r="L309" s="698">
        <f t="shared" si="164"/>
        <v>0.60225423463519834</v>
      </c>
      <c r="M309" s="698">
        <f t="shared" si="164"/>
        <v>0.60225423463519834</v>
      </c>
      <c r="N309" s="698">
        <f t="shared" si="164"/>
        <v>0.60225423463519834</v>
      </c>
      <c r="O309" s="372" t="s">
        <v>1985</v>
      </c>
      <c r="P309" s="371"/>
    </row>
    <row r="310" spans="1:16" ht="16.8">
      <c r="A310" s="372"/>
      <c r="B310" s="372"/>
      <c r="C310" s="372"/>
      <c r="D310" s="393" t="s">
        <v>1636</v>
      </c>
      <c r="E310" s="699">
        <f>E304/E298</f>
        <v>0.6699391073213441</v>
      </c>
      <c r="F310" s="699">
        <f t="shared" ref="F310:N310" si="165">F304/F298</f>
        <v>0.6699391073213441</v>
      </c>
      <c r="G310" s="699">
        <f t="shared" si="165"/>
        <v>0.6699391073213441</v>
      </c>
      <c r="H310" s="699">
        <f t="shared" si="165"/>
        <v>0.6699391073213441</v>
      </c>
      <c r="I310" s="699">
        <f t="shared" si="165"/>
        <v>0.6699391073213441</v>
      </c>
      <c r="J310" s="699">
        <f t="shared" si="165"/>
        <v>0.6699391073213441</v>
      </c>
      <c r="K310" s="699">
        <f t="shared" si="165"/>
        <v>0.6699391073213441</v>
      </c>
      <c r="L310" s="699">
        <f t="shared" si="165"/>
        <v>0.6699391073213441</v>
      </c>
      <c r="M310" s="699">
        <f t="shared" si="165"/>
        <v>0.6699391073213441</v>
      </c>
      <c r="N310" s="699">
        <f t="shared" si="165"/>
        <v>0.6699391073213441</v>
      </c>
      <c r="O310" s="372"/>
      <c r="P310" s="37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2"/>
  </sheetPr>
  <dimension ref="A1:U129"/>
  <sheetViews>
    <sheetView topLeftCell="A16" workbookViewId="0">
      <selection activeCell="D29" sqref="D29"/>
    </sheetView>
  </sheetViews>
  <sheetFormatPr defaultRowHeight="13.8"/>
  <cols>
    <col min="1" max="1" width="7.1796875" customWidth="1"/>
    <col min="2" max="2" width="12.1796875" bestFit="1" customWidth="1"/>
    <col min="3" max="3" width="28.453125" customWidth="1"/>
    <col min="4" max="4" width="37.7265625" customWidth="1"/>
    <col min="5" max="8" width="8.7265625" style="19"/>
    <col min="9" max="13" width="8.7265625" style="19" customWidth="1"/>
    <col min="14" max="14" width="14.453125" style="19" customWidth="1"/>
    <col min="17" max="17" width="10.7265625" customWidth="1"/>
    <col min="18" max="19" width="13.6328125" customWidth="1"/>
    <col min="20" max="21" width="10.7265625" customWidth="1"/>
  </cols>
  <sheetData>
    <row r="1" spans="1:21" s="874" customFormat="1" ht="16.2">
      <c r="A1" s="873" t="s">
        <v>262</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2651</v>
      </c>
      <c r="P2" s="875"/>
      <c r="Q2" s="875"/>
      <c r="R2" s="875"/>
      <c r="S2" s="875"/>
      <c r="U2" s="873"/>
    </row>
    <row r="3" spans="1:21" s="800" customFormat="1" ht="12.75" customHeight="1">
      <c r="C3" s="801"/>
      <c r="E3" s="825"/>
      <c r="F3" s="855"/>
      <c r="G3" s="856"/>
      <c r="H3" s="825"/>
      <c r="I3" s="825"/>
      <c r="J3" s="825"/>
      <c r="K3" s="855"/>
      <c r="L3" s="856"/>
      <c r="M3" s="825"/>
      <c r="N3" s="825"/>
    </row>
    <row r="4" spans="1:21" s="800" customFormat="1">
      <c r="B4" s="800" t="s">
        <v>358</v>
      </c>
      <c r="D4" s="852" t="s">
        <v>382</v>
      </c>
      <c r="E4" s="825"/>
      <c r="F4" s="857"/>
      <c r="G4" s="858"/>
      <c r="H4" s="825"/>
      <c r="I4" s="825"/>
      <c r="J4" s="825"/>
      <c r="K4" s="857"/>
      <c r="L4" s="858"/>
      <c r="M4" s="825"/>
      <c r="N4" s="825"/>
    </row>
    <row r="5" spans="1:21" s="644" customFormat="1" ht="12" customHeight="1">
      <c r="B5" s="786"/>
      <c r="E5" s="787"/>
      <c r="F5" s="787"/>
      <c r="G5" s="856"/>
      <c r="H5" s="787"/>
      <c r="I5" s="787"/>
      <c r="J5" s="787"/>
      <c r="K5" s="787"/>
      <c r="L5" s="856"/>
      <c r="M5" s="787"/>
      <c r="N5" s="787"/>
    </row>
    <row r="6" spans="1:21" s="16" customFormat="1">
      <c r="B6" s="16" t="s">
        <v>356</v>
      </c>
      <c r="C6" s="17"/>
      <c r="D6" s="17"/>
      <c r="E6" s="17"/>
      <c r="F6" s="17"/>
      <c r="G6" s="17"/>
      <c r="H6" s="17"/>
      <c r="I6" s="17"/>
      <c r="J6" s="17"/>
      <c r="K6" s="17"/>
      <c r="L6" s="17"/>
      <c r="M6" s="17"/>
      <c r="N6" s="17"/>
    </row>
    <row r="7" spans="1:21" s="644" customFormat="1">
      <c r="E7" s="787"/>
      <c r="F7" s="787"/>
      <c r="G7" s="856"/>
      <c r="H7" s="787"/>
      <c r="I7" s="787"/>
      <c r="J7" s="787"/>
      <c r="K7" s="787"/>
      <c r="L7" s="856"/>
      <c r="M7" s="787"/>
      <c r="N7" s="787"/>
    </row>
    <row r="8" spans="1:21" s="644" customFormat="1">
      <c r="B8" s="28" t="s">
        <v>383</v>
      </c>
      <c r="E8" s="787"/>
      <c r="F8" s="787"/>
      <c r="G8" s="787"/>
      <c r="H8" s="787"/>
      <c r="I8" s="787"/>
      <c r="J8" s="787"/>
      <c r="K8" s="787"/>
      <c r="L8" s="787"/>
      <c r="M8" s="787"/>
      <c r="N8" s="787"/>
    </row>
    <row r="9" spans="1:21" s="644" customFormat="1">
      <c r="B9" s="849"/>
      <c r="C9" s="645" t="s">
        <v>385</v>
      </c>
      <c r="E9" s="787"/>
      <c r="F9" s="787"/>
      <c r="G9" s="859" t="s">
        <v>384</v>
      </c>
      <c r="H9" s="787"/>
      <c r="I9" s="787"/>
      <c r="J9" s="787"/>
      <c r="K9" s="787"/>
      <c r="L9" s="859" t="s">
        <v>384</v>
      </c>
      <c r="M9" s="787"/>
      <c r="N9" s="787"/>
    </row>
    <row r="10" spans="1:21" s="644" customFormat="1">
      <c r="B10" s="851"/>
      <c r="C10" s="645" t="s">
        <v>354</v>
      </c>
      <c r="E10" s="787"/>
      <c r="F10" s="787"/>
      <c r="G10" s="762"/>
      <c r="H10" s="787"/>
      <c r="I10" s="787"/>
      <c r="J10" s="787"/>
      <c r="K10" s="787"/>
      <c r="L10" s="762"/>
      <c r="M10" s="787"/>
      <c r="N10" s="787"/>
    </row>
    <row r="11" spans="1:21" s="644" customFormat="1">
      <c r="B11" s="850"/>
      <c r="C11" s="645" t="s">
        <v>353</v>
      </c>
      <c r="E11" s="860"/>
      <c r="F11" s="787"/>
      <c r="G11" s="856"/>
      <c r="H11" s="787"/>
      <c r="I11" s="787"/>
      <c r="J11" s="860"/>
      <c r="K11" s="787"/>
      <c r="L11" s="856"/>
      <c r="M11" s="787"/>
      <c r="N11" s="787"/>
    </row>
    <row r="12" spans="1:21" s="644" customFormat="1" ht="12" customHeight="1">
      <c r="B12" s="786"/>
      <c r="E12" s="787"/>
      <c r="F12" s="787"/>
      <c r="G12" s="856"/>
      <c r="H12" s="787"/>
      <c r="I12" s="787"/>
      <c r="J12" s="787"/>
      <c r="K12" s="787"/>
      <c r="L12" s="856"/>
      <c r="M12" s="787"/>
      <c r="N12" s="787"/>
    </row>
    <row r="13" spans="1:21" s="9" customFormat="1">
      <c r="A13" s="8" t="s">
        <v>262</v>
      </c>
      <c r="B13" s="8"/>
      <c r="E13" s="9" t="s">
        <v>7</v>
      </c>
      <c r="F13" s="9" t="s">
        <v>8</v>
      </c>
      <c r="G13" s="9" t="s">
        <v>9</v>
      </c>
      <c r="H13" s="9" t="s">
        <v>10</v>
      </c>
      <c r="I13" s="9" t="s">
        <v>11</v>
      </c>
      <c r="J13" s="9" t="s">
        <v>7</v>
      </c>
      <c r="K13" s="9" t="s">
        <v>8</v>
      </c>
      <c r="L13" s="9" t="s">
        <v>9</v>
      </c>
      <c r="M13" s="9" t="s">
        <v>10</v>
      </c>
      <c r="N13" s="9" t="s">
        <v>11</v>
      </c>
    </row>
    <row r="14" spans="1:21" s="10" customFormat="1">
      <c r="B14" s="36"/>
      <c r="C14" s="10" t="s">
        <v>263</v>
      </c>
      <c r="D14" s="10" t="s">
        <v>264</v>
      </c>
      <c r="E14" s="847">
        <v>1</v>
      </c>
      <c r="F14" s="847">
        <v>2</v>
      </c>
      <c r="G14" s="847">
        <v>3</v>
      </c>
      <c r="H14" s="847">
        <v>4</v>
      </c>
      <c r="I14" s="847">
        <v>5</v>
      </c>
      <c r="J14" s="847">
        <v>6</v>
      </c>
      <c r="K14" s="847">
        <v>7</v>
      </c>
      <c r="L14" s="847">
        <v>8</v>
      </c>
      <c r="M14" s="847">
        <v>9</v>
      </c>
      <c r="N14" s="847">
        <v>10</v>
      </c>
      <c r="O14" s="36" t="s">
        <v>270</v>
      </c>
    </row>
    <row r="16" spans="1:21">
      <c r="A16" t="s">
        <v>265</v>
      </c>
      <c r="B16" s="849">
        <v>1002</v>
      </c>
      <c r="C16" t="s">
        <v>266</v>
      </c>
    </row>
    <row r="17" spans="1:17">
      <c r="A17" t="s">
        <v>267</v>
      </c>
      <c r="B17" s="849">
        <v>1001</v>
      </c>
      <c r="C17" t="s">
        <v>268</v>
      </c>
    </row>
    <row r="20" spans="1:17">
      <c r="B20" s="28" t="s">
        <v>2904</v>
      </c>
    </row>
    <row r="21" spans="1:17">
      <c r="C21" s="849"/>
      <c r="D21" s="846" t="str">
        <f>IFERROR(IF(C21="","",VLOOKUP(C21,param!$A:$B,2,FALSE)),"Param Not Recognised")</f>
        <v/>
      </c>
      <c r="E21" s="762">
        <f t="shared" ref="E21:N21" si="0">IF(xxSim0Tool1=1,0,AnalysisR1WHIScore*$Q21)</f>
        <v>0</v>
      </c>
      <c r="F21" s="762">
        <f t="shared" si="0"/>
        <v>0</v>
      </c>
      <c r="G21" s="762">
        <f t="shared" si="0"/>
        <v>0</v>
      </c>
      <c r="H21" s="762">
        <f t="shared" si="0"/>
        <v>0</v>
      </c>
      <c r="I21" s="762">
        <f t="shared" si="0"/>
        <v>0</v>
      </c>
      <c r="J21" s="762">
        <f t="shared" si="0"/>
        <v>0</v>
      </c>
      <c r="K21" s="762">
        <f t="shared" si="0"/>
        <v>0</v>
      </c>
      <c r="L21" s="762">
        <f t="shared" si="0"/>
        <v>0</v>
      </c>
      <c r="M21" s="762">
        <f t="shared" si="0"/>
        <v>0</v>
      </c>
      <c r="N21" s="762">
        <f t="shared" si="0"/>
        <v>0</v>
      </c>
      <c r="O21" t="s">
        <v>2907</v>
      </c>
      <c r="Q21" s="139">
        <v>0.05</v>
      </c>
    </row>
    <row r="24" spans="1:17" s="10" customFormat="1">
      <c r="A24" s="36" t="s">
        <v>2905</v>
      </c>
      <c r="B24" s="36"/>
    </row>
    <row r="26" spans="1:17">
      <c r="B26" s="28" t="s">
        <v>2906</v>
      </c>
    </row>
    <row r="27" spans="1:17">
      <c r="C27" s="849"/>
      <c r="D27" s="846" t="str">
        <f>IFERROR(IF(C27="","",VLOOKUP(C27,param!$A:$B,2,FALSE)),"Param Not Recognised")</f>
        <v/>
      </c>
      <c r="E27" s="762">
        <f t="shared" ref="E27:N27" si="1">IF(xxSim0Tool1=1,0,AnalysisR2WHIScore*$Q27)</f>
        <v>0</v>
      </c>
      <c r="F27" s="762">
        <f t="shared" si="1"/>
        <v>0</v>
      </c>
      <c r="G27" s="762">
        <f t="shared" si="1"/>
        <v>0</v>
      </c>
      <c r="H27" s="762">
        <f t="shared" si="1"/>
        <v>0</v>
      </c>
      <c r="I27" s="762">
        <f t="shared" si="1"/>
        <v>0</v>
      </c>
      <c r="J27" s="762">
        <f t="shared" si="1"/>
        <v>0</v>
      </c>
      <c r="K27" s="762">
        <f t="shared" si="1"/>
        <v>0</v>
      </c>
      <c r="L27" s="762">
        <f t="shared" si="1"/>
        <v>0</v>
      </c>
      <c r="M27" s="762">
        <f t="shared" si="1"/>
        <v>0</v>
      </c>
      <c r="N27" s="762">
        <f t="shared" si="1"/>
        <v>0</v>
      </c>
      <c r="O27" t="s">
        <v>2908</v>
      </c>
      <c r="Q27" s="139">
        <v>0.3</v>
      </c>
    </row>
    <row r="29" spans="1:17" s="10" customFormat="1">
      <c r="A29" s="36" t="s">
        <v>2922</v>
      </c>
      <c r="B29" s="36"/>
    </row>
    <row r="31" spans="1:17">
      <c r="B31" s="28" t="s">
        <v>639</v>
      </c>
    </row>
    <row r="32" spans="1:17">
      <c r="C32" s="137" t="s">
        <v>1453</v>
      </c>
      <c r="D32" s="846" t="str">
        <f>IFERROR(IF(C32="","",VLOOKUP(C32,param!$A:$B,2,FALSE)),"Param Not Recognised")</f>
        <v>Productivity &amp; Business COGS Per Unit</v>
      </c>
      <c r="E32" s="762">
        <f t="shared" ref="E32:N37" si="2">(cbalOpsSupplyChainFTEs-obalOpsSupplyChainFTEs)*$Q32</f>
        <v>0</v>
      </c>
      <c r="F32" s="762">
        <f t="shared" si="2"/>
        <v>0</v>
      </c>
      <c r="G32" s="762">
        <f t="shared" si="2"/>
        <v>0</v>
      </c>
      <c r="H32" s="762">
        <f t="shared" si="2"/>
        <v>0</v>
      </c>
      <c r="I32" s="762">
        <f t="shared" si="2"/>
        <v>0</v>
      </c>
      <c r="J32" s="762">
        <f t="shared" si="2"/>
        <v>0</v>
      </c>
      <c r="K32" s="762">
        <f t="shared" si="2"/>
        <v>0</v>
      </c>
      <c r="L32" s="762">
        <f t="shared" si="2"/>
        <v>0</v>
      </c>
      <c r="M32" s="762">
        <f t="shared" si="2"/>
        <v>0</v>
      </c>
      <c r="N32" s="762">
        <f t="shared" si="2"/>
        <v>0</v>
      </c>
      <c r="Q32" s="1285">
        <v>-5.0000000000000001E-3</v>
      </c>
    </row>
    <row r="33" spans="1:21">
      <c r="C33" s="137" t="s">
        <v>1454</v>
      </c>
      <c r="D33" s="846" t="str">
        <f>IFERROR(IF(C33="","",VLOOKUP(C33,param!$A:$B,2,FALSE)),"Param Not Recognised")</f>
        <v>Intelligent Cloud COGS Per Unit</v>
      </c>
      <c r="E33" s="762">
        <f t="shared" si="2"/>
        <v>0</v>
      </c>
      <c r="F33" s="762">
        <f t="shared" si="2"/>
        <v>0</v>
      </c>
      <c r="G33" s="762">
        <f t="shared" si="2"/>
        <v>0</v>
      </c>
      <c r="H33" s="762">
        <f t="shared" si="2"/>
        <v>0</v>
      </c>
      <c r="I33" s="762">
        <f t="shared" si="2"/>
        <v>0</v>
      </c>
      <c r="J33" s="762">
        <f t="shared" si="2"/>
        <v>0</v>
      </c>
      <c r="K33" s="762">
        <f t="shared" si="2"/>
        <v>0</v>
      </c>
      <c r="L33" s="762">
        <f t="shared" si="2"/>
        <v>0</v>
      </c>
      <c r="M33" s="762">
        <f t="shared" si="2"/>
        <v>0</v>
      </c>
      <c r="N33" s="762">
        <f t="shared" si="2"/>
        <v>0</v>
      </c>
      <c r="Q33" s="1285">
        <v>-5.0000000000000001E-3</v>
      </c>
    </row>
    <row r="34" spans="1:21">
      <c r="C34" s="137" t="s">
        <v>1455</v>
      </c>
      <c r="D34" s="846" t="str">
        <f>IFERROR(IF(C34="","",VLOOKUP(C34,param!$A:$B,2,FALSE)),"Param Not Recognised")</f>
        <v>Productivity &amp; Business COGS Per Unit</v>
      </c>
      <c r="E34" s="762">
        <f t="shared" si="2"/>
        <v>0</v>
      </c>
      <c r="F34" s="762">
        <f t="shared" si="2"/>
        <v>0</v>
      </c>
      <c r="G34" s="762">
        <f t="shared" si="2"/>
        <v>0</v>
      </c>
      <c r="H34" s="762">
        <f t="shared" si="2"/>
        <v>0</v>
      </c>
      <c r="I34" s="762">
        <f t="shared" si="2"/>
        <v>0</v>
      </c>
      <c r="J34" s="762">
        <f t="shared" si="2"/>
        <v>0</v>
      </c>
      <c r="K34" s="762">
        <f t="shared" si="2"/>
        <v>0</v>
      </c>
      <c r="L34" s="762">
        <f t="shared" si="2"/>
        <v>0</v>
      </c>
      <c r="M34" s="762">
        <f t="shared" si="2"/>
        <v>0</v>
      </c>
      <c r="N34" s="762">
        <f t="shared" si="2"/>
        <v>0</v>
      </c>
      <c r="Q34" s="1285">
        <v>-5.0000000000000001E-3</v>
      </c>
    </row>
    <row r="35" spans="1:21">
      <c r="C35" s="137" t="s">
        <v>1456</v>
      </c>
      <c r="D35" s="846" t="str">
        <f>IFERROR(IF(C35="","",VLOOKUP(C35,param!$A:$B,2,FALSE)),"Param Not Recognised")</f>
        <v>Intelligent Cloud COGS Per Unit</v>
      </c>
      <c r="E35" s="762">
        <f t="shared" si="2"/>
        <v>0</v>
      </c>
      <c r="F35" s="762">
        <f t="shared" si="2"/>
        <v>0</v>
      </c>
      <c r="G35" s="762">
        <f t="shared" si="2"/>
        <v>0</v>
      </c>
      <c r="H35" s="762">
        <f t="shared" si="2"/>
        <v>0</v>
      </c>
      <c r="I35" s="762">
        <f t="shared" si="2"/>
        <v>0</v>
      </c>
      <c r="J35" s="762">
        <f t="shared" si="2"/>
        <v>0</v>
      </c>
      <c r="K35" s="762">
        <f t="shared" si="2"/>
        <v>0</v>
      </c>
      <c r="L35" s="762">
        <f t="shared" si="2"/>
        <v>0</v>
      </c>
      <c r="M35" s="762">
        <f t="shared" si="2"/>
        <v>0</v>
      </c>
      <c r="N35" s="762">
        <f t="shared" si="2"/>
        <v>0</v>
      </c>
      <c r="Q35" s="1285">
        <v>-5.0000000000000001E-3</v>
      </c>
    </row>
    <row r="36" spans="1:21">
      <c r="C36" s="137" t="s">
        <v>1558</v>
      </c>
      <c r="D36" s="846" t="str">
        <f>IFERROR(IF(C36="","",VLOOKUP(C36,param!$A:$B,2,FALSE)),"Param Not Recognised")</f>
        <v>Productivity &amp; Business COGS Per Unit</v>
      </c>
      <c r="E36" s="762">
        <f t="shared" si="2"/>
        <v>0</v>
      </c>
      <c r="F36" s="762">
        <f t="shared" si="2"/>
        <v>0</v>
      </c>
      <c r="G36" s="762">
        <f t="shared" si="2"/>
        <v>0</v>
      </c>
      <c r="H36" s="762">
        <f t="shared" si="2"/>
        <v>0</v>
      </c>
      <c r="I36" s="762">
        <f t="shared" si="2"/>
        <v>0</v>
      </c>
      <c r="J36" s="762">
        <f t="shared" si="2"/>
        <v>0</v>
      </c>
      <c r="K36" s="762">
        <f t="shared" si="2"/>
        <v>0</v>
      </c>
      <c r="L36" s="762">
        <f t="shared" si="2"/>
        <v>0</v>
      </c>
      <c r="M36" s="762">
        <f t="shared" si="2"/>
        <v>0</v>
      </c>
      <c r="N36" s="762">
        <f t="shared" si="2"/>
        <v>0</v>
      </c>
      <c r="Q36" s="1285">
        <v>-5.0000000000000001E-3</v>
      </c>
    </row>
    <row r="37" spans="1:21">
      <c r="C37" s="137" t="s">
        <v>1559</v>
      </c>
      <c r="D37" s="846" t="str">
        <f>IFERROR(IF(C37="","",VLOOKUP(C37,param!$A:$B,2,FALSE)),"Param Not Recognised")</f>
        <v>Productivity &amp; Business COGS Per Unit</v>
      </c>
      <c r="E37" s="762">
        <f t="shared" si="2"/>
        <v>0</v>
      </c>
      <c r="F37" s="762">
        <f t="shared" si="2"/>
        <v>0</v>
      </c>
      <c r="G37" s="762">
        <f t="shared" si="2"/>
        <v>0</v>
      </c>
      <c r="H37" s="762">
        <f t="shared" si="2"/>
        <v>0</v>
      </c>
      <c r="I37" s="762">
        <f t="shared" si="2"/>
        <v>0</v>
      </c>
      <c r="J37" s="762">
        <f t="shared" si="2"/>
        <v>0</v>
      </c>
      <c r="K37" s="762">
        <f t="shared" si="2"/>
        <v>0</v>
      </c>
      <c r="L37" s="762">
        <f t="shared" si="2"/>
        <v>0</v>
      </c>
      <c r="M37" s="762">
        <f t="shared" si="2"/>
        <v>0</v>
      </c>
      <c r="N37" s="762">
        <f t="shared" si="2"/>
        <v>0</v>
      </c>
      <c r="Q37" s="1285">
        <v>-5.0000000000000001E-3</v>
      </c>
    </row>
    <row r="39" spans="1:21" s="10" customFormat="1">
      <c r="A39" s="36" t="s">
        <v>2431</v>
      </c>
      <c r="B39" s="36"/>
      <c r="O39" s="10" t="s">
        <v>170</v>
      </c>
      <c r="P39" s="10" t="s">
        <v>269</v>
      </c>
      <c r="Q39" s="10" t="s">
        <v>2430</v>
      </c>
      <c r="R39" s="10" t="s">
        <v>2429</v>
      </c>
      <c r="S39" s="10" t="s">
        <v>2428</v>
      </c>
      <c r="T39" s="10" t="s">
        <v>2427</v>
      </c>
      <c r="U39" s="10" t="s">
        <v>2426</v>
      </c>
    </row>
    <row r="41" spans="1:21">
      <c r="A41" s="5" t="s">
        <v>157</v>
      </c>
      <c r="B41" s="32" t="s">
        <v>158</v>
      </c>
      <c r="C41" s="32"/>
      <c r="D41" s="32"/>
      <c r="E41" s="5"/>
      <c r="F41" s="5"/>
      <c r="G41" s="5"/>
      <c r="H41" s="5"/>
      <c r="I41" s="5"/>
      <c r="J41" s="5"/>
      <c r="K41" s="5"/>
      <c r="L41" s="5"/>
      <c r="M41" s="5"/>
      <c r="N41" s="5"/>
      <c r="O41" s="32"/>
      <c r="P41" s="32"/>
      <c r="Q41" s="32"/>
      <c r="R41" s="32"/>
      <c r="S41" s="32"/>
      <c r="T41" s="32"/>
      <c r="U41" s="32"/>
    </row>
    <row r="42" spans="1:21">
      <c r="A42" s="135" t="s">
        <v>2351</v>
      </c>
      <c r="B42" s="848"/>
      <c r="C42" s="31" t="s">
        <v>2425</v>
      </c>
      <c r="D42" s="31"/>
      <c r="E42" s="853" t="b">
        <f t="shared" ref="E42:N42" si="3">VLOOKUP($A42,WobblerCalcTableLaunched,adj_IndexTeam+1,FALSE)</f>
        <v>0</v>
      </c>
      <c r="F42" s="853" t="b">
        <f t="shared" si="3"/>
        <v>0</v>
      </c>
      <c r="G42" s="853" t="b">
        <f t="shared" si="3"/>
        <v>0</v>
      </c>
      <c r="H42" s="853" t="b">
        <f t="shared" si="3"/>
        <v>0</v>
      </c>
      <c r="I42" s="853" t="b">
        <f t="shared" si="3"/>
        <v>0</v>
      </c>
      <c r="J42" s="853" t="b">
        <f t="shared" si="3"/>
        <v>0</v>
      </c>
      <c r="K42" s="853" t="b">
        <f t="shared" si="3"/>
        <v>0</v>
      </c>
      <c r="L42" s="853" t="b">
        <f t="shared" si="3"/>
        <v>0</v>
      </c>
      <c r="M42" s="853" t="b">
        <f t="shared" si="3"/>
        <v>0</v>
      </c>
      <c r="N42" s="853" t="b">
        <f t="shared" si="3"/>
        <v>0</v>
      </c>
      <c r="O42" s="847">
        <f>SUMIF(C44:C53,adj_FTECode,R44:R53)</f>
        <v>0</v>
      </c>
      <c r="P42" s="847">
        <f>SUMIF(C44:C53,adj_CostCode,R44:R53)</f>
        <v>0</v>
      </c>
      <c r="Q42" s="31"/>
      <c r="R42" s="31"/>
      <c r="S42" s="31"/>
      <c r="T42" s="31"/>
      <c r="U42" s="31"/>
    </row>
    <row r="43" spans="1:21">
      <c r="A43" s="5"/>
      <c r="B43" s="32"/>
      <c r="C43" s="32" t="s">
        <v>2424</v>
      </c>
      <c r="D43" s="32"/>
      <c r="E43" s="853">
        <f t="shared" ref="E43:N43" si="4">VLOOKUP($A42,WobblerCalcTableRoundsIntoLaunch,adj_IndexTeam+1,FALSE)</f>
        <v>0</v>
      </c>
      <c r="F43" s="853">
        <f t="shared" si="4"/>
        <v>0</v>
      </c>
      <c r="G43" s="853">
        <f t="shared" si="4"/>
        <v>0</v>
      </c>
      <c r="H43" s="853">
        <f t="shared" si="4"/>
        <v>0</v>
      </c>
      <c r="I43" s="853">
        <f t="shared" si="4"/>
        <v>0</v>
      </c>
      <c r="J43" s="853">
        <f t="shared" si="4"/>
        <v>0</v>
      </c>
      <c r="K43" s="853">
        <f t="shared" si="4"/>
        <v>0</v>
      </c>
      <c r="L43" s="853">
        <f t="shared" si="4"/>
        <v>0</v>
      </c>
      <c r="M43" s="853">
        <f t="shared" si="4"/>
        <v>0</v>
      </c>
      <c r="N43" s="853">
        <f t="shared" si="4"/>
        <v>0</v>
      </c>
      <c r="O43" s="32"/>
      <c r="P43" s="32"/>
      <c r="Q43" s="32"/>
      <c r="R43" s="32"/>
      <c r="S43" s="32"/>
      <c r="T43" s="32"/>
      <c r="U43" s="32"/>
    </row>
    <row r="44" spans="1:21">
      <c r="A44" s="5"/>
      <c r="B44" s="32"/>
      <c r="C44" s="137" t="s">
        <v>987</v>
      </c>
      <c r="D44" s="846" t="str">
        <f>IFERROR(IF(C44="","",VLOOKUP(C44,param!$A:$B,2,FALSE)),"Param Not Recognised")</f>
        <v>FTEs</v>
      </c>
      <c r="E44" s="854">
        <f t="shared" ref="E44:N44" si="5">IF(E42,INDEX($Q44:$U44,E43+1),0)</f>
        <v>0</v>
      </c>
      <c r="F44" s="854">
        <f t="shared" si="5"/>
        <v>0</v>
      </c>
      <c r="G44" s="854">
        <f t="shared" si="5"/>
        <v>0</v>
      </c>
      <c r="H44" s="854">
        <f t="shared" si="5"/>
        <v>0</v>
      </c>
      <c r="I44" s="854">
        <f t="shared" si="5"/>
        <v>0</v>
      </c>
      <c r="J44" s="854">
        <f t="shared" si="5"/>
        <v>0</v>
      </c>
      <c r="K44" s="854">
        <f t="shared" si="5"/>
        <v>0</v>
      </c>
      <c r="L44" s="854">
        <f t="shared" si="5"/>
        <v>0</v>
      </c>
      <c r="M44" s="854">
        <f t="shared" si="5"/>
        <v>0</v>
      </c>
      <c r="N44" s="854">
        <f t="shared" si="5"/>
        <v>0</v>
      </c>
      <c r="O44" s="32"/>
      <c r="P44" s="32"/>
      <c r="Q44" s="135">
        <v>0</v>
      </c>
      <c r="R44" s="135">
        <v>15</v>
      </c>
      <c r="S44" s="135"/>
      <c r="T44" s="135"/>
      <c r="U44" s="135"/>
    </row>
    <row r="45" spans="1:21">
      <c r="A45" s="5"/>
      <c r="B45" s="32"/>
      <c r="C45" s="137" t="s">
        <v>989</v>
      </c>
      <c r="D45" s="846" t="str">
        <f>IFERROR(IF(C45="","",VLOOKUP(C45,param!$A:$B,2,FALSE)),"Param Not Recognised")</f>
        <v>CP Advocacy</v>
      </c>
      <c r="E45" s="854">
        <f t="shared" ref="E45:N45" si="6">IF(E42,INDEX($Q45:$U45,E43+1),0)</f>
        <v>0</v>
      </c>
      <c r="F45" s="854">
        <f t="shared" si="6"/>
        <v>0</v>
      </c>
      <c r="G45" s="854">
        <f t="shared" si="6"/>
        <v>0</v>
      </c>
      <c r="H45" s="854">
        <f t="shared" si="6"/>
        <v>0</v>
      </c>
      <c r="I45" s="854">
        <f t="shared" si="6"/>
        <v>0</v>
      </c>
      <c r="J45" s="854">
        <f t="shared" si="6"/>
        <v>0</v>
      </c>
      <c r="K45" s="854">
        <f t="shared" si="6"/>
        <v>0</v>
      </c>
      <c r="L45" s="854">
        <f t="shared" si="6"/>
        <v>0</v>
      </c>
      <c r="M45" s="854">
        <f t="shared" si="6"/>
        <v>0</v>
      </c>
      <c r="N45" s="854">
        <f t="shared" si="6"/>
        <v>0</v>
      </c>
      <c r="O45" s="32"/>
      <c r="P45" s="32"/>
      <c r="Q45" s="135">
        <v>0</v>
      </c>
      <c r="R45" s="135">
        <v>0.5</v>
      </c>
      <c r="S45" s="135"/>
      <c r="T45" s="135"/>
      <c r="U45" s="135"/>
    </row>
    <row r="46" spans="1:21">
      <c r="A46" s="5"/>
      <c r="B46" s="32"/>
      <c r="C46" s="137" t="s">
        <v>3281</v>
      </c>
      <c r="D46" s="846" t="str">
        <f>IFERROR(IF(C46="","",VLOOKUP(C46,param!$A:$B,2,FALSE)),"Param Not Recognised")</f>
        <v>Intelligent Cloud Enterprise Consumption</v>
      </c>
      <c r="E46" s="854">
        <f t="shared" ref="E46:N46" si="7">IF(E42,INDEX($Q46:$U46,E43+1),0)</f>
        <v>0</v>
      </c>
      <c r="F46" s="854">
        <f t="shared" si="7"/>
        <v>0</v>
      </c>
      <c r="G46" s="854">
        <f t="shared" si="7"/>
        <v>0</v>
      </c>
      <c r="H46" s="854">
        <f t="shared" si="7"/>
        <v>0</v>
      </c>
      <c r="I46" s="854">
        <f t="shared" si="7"/>
        <v>0</v>
      </c>
      <c r="J46" s="854">
        <f t="shared" si="7"/>
        <v>0</v>
      </c>
      <c r="K46" s="854">
        <f t="shared" si="7"/>
        <v>0</v>
      </c>
      <c r="L46" s="854">
        <f t="shared" si="7"/>
        <v>0</v>
      </c>
      <c r="M46" s="854">
        <f t="shared" si="7"/>
        <v>0</v>
      </c>
      <c r="N46" s="854">
        <f t="shared" si="7"/>
        <v>0</v>
      </c>
      <c r="O46" s="32"/>
      <c r="P46" s="32"/>
      <c r="Q46" s="135">
        <v>0</v>
      </c>
      <c r="R46" s="139">
        <v>0.02</v>
      </c>
      <c r="S46" s="135"/>
      <c r="T46" s="135"/>
      <c r="U46" s="135"/>
    </row>
    <row r="47" spans="1:21">
      <c r="A47" s="5"/>
      <c r="B47" s="32"/>
      <c r="C47" s="137"/>
      <c r="D47" s="846" t="str">
        <f>IFERROR(IF(C47="","",VLOOKUP(C47,param!$A:$B,2,FALSE)),"Param Not Recognised")</f>
        <v/>
      </c>
      <c r="E47" s="854">
        <f t="shared" ref="E47:N47" si="8">IF(E42,INDEX($Q47:$U47,E43+1),0)</f>
        <v>0</v>
      </c>
      <c r="F47" s="854">
        <f t="shared" si="8"/>
        <v>0</v>
      </c>
      <c r="G47" s="854">
        <f t="shared" si="8"/>
        <v>0</v>
      </c>
      <c r="H47" s="854">
        <f t="shared" si="8"/>
        <v>0</v>
      </c>
      <c r="I47" s="854">
        <f t="shared" si="8"/>
        <v>0</v>
      </c>
      <c r="J47" s="854">
        <f t="shared" si="8"/>
        <v>0</v>
      </c>
      <c r="K47" s="854">
        <f t="shared" si="8"/>
        <v>0</v>
      </c>
      <c r="L47" s="854">
        <f t="shared" si="8"/>
        <v>0</v>
      </c>
      <c r="M47" s="854">
        <f t="shared" si="8"/>
        <v>0</v>
      </c>
      <c r="N47" s="854">
        <f t="shared" si="8"/>
        <v>0</v>
      </c>
      <c r="O47" s="32"/>
      <c r="P47" s="32"/>
      <c r="Q47" s="135">
        <v>0</v>
      </c>
      <c r="R47" s="135"/>
      <c r="S47" s="135"/>
      <c r="T47" s="135"/>
      <c r="U47" s="135"/>
    </row>
    <row r="48" spans="1:21">
      <c r="A48" s="5"/>
      <c r="B48" s="32"/>
      <c r="C48" s="137"/>
      <c r="D48" s="846" t="str">
        <f>IFERROR(IF(C48="","",VLOOKUP(C48,param!$A:$B,2,FALSE)),"Param Not Recognised")</f>
        <v/>
      </c>
      <c r="E48" s="854">
        <f t="shared" ref="E48:N48" si="9">IF(E42,INDEX($Q48:$U48,E43+1),0)</f>
        <v>0</v>
      </c>
      <c r="F48" s="854">
        <f t="shared" si="9"/>
        <v>0</v>
      </c>
      <c r="G48" s="854">
        <f t="shared" si="9"/>
        <v>0</v>
      </c>
      <c r="H48" s="854">
        <f t="shared" si="9"/>
        <v>0</v>
      </c>
      <c r="I48" s="854">
        <f t="shared" si="9"/>
        <v>0</v>
      </c>
      <c r="J48" s="854">
        <f t="shared" si="9"/>
        <v>0</v>
      </c>
      <c r="K48" s="854">
        <f t="shared" si="9"/>
        <v>0</v>
      </c>
      <c r="L48" s="854">
        <f t="shared" si="9"/>
        <v>0</v>
      </c>
      <c r="M48" s="854">
        <f t="shared" si="9"/>
        <v>0</v>
      </c>
      <c r="N48" s="854">
        <f t="shared" si="9"/>
        <v>0</v>
      </c>
      <c r="O48" s="32"/>
      <c r="P48" s="32"/>
      <c r="Q48" s="135">
        <v>0</v>
      </c>
      <c r="R48" s="135"/>
      <c r="S48" s="135"/>
      <c r="T48" s="135"/>
      <c r="U48" s="135"/>
    </row>
    <row r="49" spans="1:21">
      <c r="A49" s="5"/>
      <c r="B49" s="32"/>
      <c r="C49" s="137"/>
      <c r="D49" s="846" t="str">
        <f>IFERROR(IF(C49="","",VLOOKUP(C49,param!$A:$B,2,FALSE)),"Param Not Recognised")</f>
        <v/>
      </c>
      <c r="E49" s="854">
        <f t="shared" ref="E49:N49" si="10">IF(E42,INDEX($Q49:$U49,E43+1),0)</f>
        <v>0</v>
      </c>
      <c r="F49" s="854">
        <f t="shared" si="10"/>
        <v>0</v>
      </c>
      <c r="G49" s="854">
        <f t="shared" si="10"/>
        <v>0</v>
      </c>
      <c r="H49" s="854">
        <f t="shared" si="10"/>
        <v>0</v>
      </c>
      <c r="I49" s="854">
        <f>IF(I42,INDEX($Q49:$U49,I43+1),0)</f>
        <v>0</v>
      </c>
      <c r="J49" s="854">
        <f t="shared" si="10"/>
        <v>0</v>
      </c>
      <c r="K49" s="854">
        <f t="shared" si="10"/>
        <v>0</v>
      </c>
      <c r="L49" s="854">
        <f t="shared" si="10"/>
        <v>0</v>
      </c>
      <c r="M49" s="854">
        <f t="shared" si="10"/>
        <v>0</v>
      </c>
      <c r="N49" s="854">
        <f t="shared" si="10"/>
        <v>0</v>
      </c>
      <c r="O49" s="32"/>
      <c r="P49" s="32"/>
      <c r="Q49" s="135">
        <v>0</v>
      </c>
      <c r="R49" s="135"/>
      <c r="S49" s="135"/>
      <c r="T49" s="135"/>
      <c r="U49" s="135"/>
    </row>
    <row r="50" spans="1:21">
      <c r="A50" s="5"/>
      <c r="B50" s="32"/>
      <c r="C50" s="137"/>
      <c r="D50" s="846" t="str">
        <f>IFERROR(IF(C50="","",VLOOKUP(C50,param!$A:$B,2,FALSE)),"Param Not Recognised")</f>
        <v/>
      </c>
      <c r="E50" s="854">
        <f t="shared" ref="E50:N50" si="11">IF(E42,INDEX($Q50:$U50,E43+1),0)</f>
        <v>0</v>
      </c>
      <c r="F50" s="854">
        <f t="shared" si="11"/>
        <v>0</v>
      </c>
      <c r="G50" s="854">
        <f t="shared" si="11"/>
        <v>0</v>
      </c>
      <c r="H50" s="854">
        <f t="shared" si="11"/>
        <v>0</v>
      </c>
      <c r="I50" s="854">
        <f t="shared" si="11"/>
        <v>0</v>
      </c>
      <c r="J50" s="854">
        <f t="shared" si="11"/>
        <v>0</v>
      </c>
      <c r="K50" s="854">
        <f t="shared" si="11"/>
        <v>0</v>
      </c>
      <c r="L50" s="854">
        <f t="shared" si="11"/>
        <v>0</v>
      </c>
      <c r="M50" s="854">
        <f t="shared" si="11"/>
        <v>0</v>
      </c>
      <c r="N50" s="854">
        <f t="shared" si="11"/>
        <v>0</v>
      </c>
      <c r="O50" s="32"/>
      <c r="P50" s="32"/>
      <c r="Q50" s="135">
        <v>0</v>
      </c>
      <c r="R50" s="135"/>
      <c r="S50" s="135"/>
      <c r="T50" s="135"/>
      <c r="U50" s="135"/>
    </row>
    <row r="51" spans="1:21">
      <c r="A51" s="5"/>
      <c r="B51" s="32"/>
      <c r="C51" s="137"/>
      <c r="D51" s="846" t="str">
        <f>IFERROR(IF(C51="","",VLOOKUP(C51,param!$A:$B,2,FALSE)),"Param Not Recognised")</f>
        <v/>
      </c>
      <c r="E51" s="854">
        <f t="shared" ref="E51:N51" si="12">IF(E42,INDEX($Q51:$U51,E43+1),0)</f>
        <v>0</v>
      </c>
      <c r="F51" s="854">
        <f t="shared" si="12"/>
        <v>0</v>
      </c>
      <c r="G51" s="854">
        <f t="shared" si="12"/>
        <v>0</v>
      </c>
      <c r="H51" s="854">
        <f t="shared" si="12"/>
        <v>0</v>
      </c>
      <c r="I51" s="854">
        <f t="shared" si="12"/>
        <v>0</v>
      </c>
      <c r="J51" s="854">
        <f t="shared" si="12"/>
        <v>0</v>
      </c>
      <c r="K51" s="854">
        <f t="shared" si="12"/>
        <v>0</v>
      </c>
      <c r="L51" s="854">
        <f t="shared" si="12"/>
        <v>0</v>
      </c>
      <c r="M51" s="854">
        <f t="shared" si="12"/>
        <v>0</v>
      </c>
      <c r="N51" s="854">
        <f t="shared" si="12"/>
        <v>0</v>
      </c>
      <c r="O51" s="32"/>
      <c r="P51" s="32"/>
      <c r="Q51" s="135">
        <v>0</v>
      </c>
      <c r="R51" s="135"/>
      <c r="S51" s="135"/>
      <c r="T51" s="135"/>
      <c r="U51" s="135"/>
    </row>
    <row r="52" spans="1:21">
      <c r="A52" s="5"/>
      <c r="B52" s="32"/>
      <c r="C52" s="137"/>
      <c r="D52" s="846" t="str">
        <f>IFERROR(IF(C52="","",VLOOKUP(C52,param!$A:$B,2,FALSE)),"Param Not Recognised")</f>
        <v/>
      </c>
      <c r="E52" s="854">
        <f t="shared" ref="E52:N52" si="13">IF(E42,INDEX($Q52:$U52,E43+1),0)</f>
        <v>0</v>
      </c>
      <c r="F52" s="854">
        <f t="shared" si="13"/>
        <v>0</v>
      </c>
      <c r="G52" s="854">
        <f t="shared" si="13"/>
        <v>0</v>
      </c>
      <c r="H52" s="854">
        <f t="shared" si="13"/>
        <v>0</v>
      </c>
      <c r="I52" s="854">
        <f t="shared" si="13"/>
        <v>0</v>
      </c>
      <c r="J52" s="854">
        <f t="shared" si="13"/>
        <v>0</v>
      </c>
      <c r="K52" s="854">
        <f t="shared" si="13"/>
        <v>0</v>
      </c>
      <c r="L52" s="854">
        <f t="shared" si="13"/>
        <v>0</v>
      </c>
      <c r="M52" s="854">
        <f t="shared" si="13"/>
        <v>0</v>
      </c>
      <c r="N52" s="854">
        <f t="shared" si="13"/>
        <v>0</v>
      </c>
      <c r="O52" s="32"/>
      <c r="P52" s="32"/>
      <c r="Q52" s="135">
        <v>0</v>
      </c>
      <c r="R52" s="135"/>
      <c r="S52" s="135"/>
      <c r="T52" s="135"/>
      <c r="U52" s="135"/>
    </row>
    <row r="53" spans="1:21">
      <c r="A53" s="5"/>
      <c r="B53" s="32"/>
      <c r="C53" s="137"/>
      <c r="D53" s="846" t="str">
        <f>IFERROR(IF(C53="","",VLOOKUP(C53,param!$A:$B,2,FALSE)),"Param Not Recognised")</f>
        <v/>
      </c>
      <c r="E53" s="854">
        <f t="shared" ref="E53:N53" si="14">IF(E42,INDEX($Q53:$U53,E43+1),0)</f>
        <v>0</v>
      </c>
      <c r="F53" s="854">
        <f t="shared" si="14"/>
        <v>0</v>
      </c>
      <c r="G53" s="854">
        <f t="shared" si="14"/>
        <v>0</v>
      </c>
      <c r="H53" s="854">
        <f t="shared" si="14"/>
        <v>0</v>
      </c>
      <c r="I53" s="854">
        <f t="shared" si="14"/>
        <v>0</v>
      </c>
      <c r="J53" s="854">
        <f t="shared" si="14"/>
        <v>0</v>
      </c>
      <c r="K53" s="854">
        <f t="shared" si="14"/>
        <v>0</v>
      </c>
      <c r="L53" s="854">
        <f t="shared" si="14"/>
        <v>0</v>
      </c>
      <c r="M53" s="854">
        <f t="shared" si="14"/>
        <v>0</v>
      </c>
      <c r="N53" s="854">
        <f t="shared" si="14"/>
        <v>0</v>
      </c>
      <c r="O53" s="32"/>
      <c r="P53" s="32"/>
      <c r="Q53" s="135">
        <v>0</v>
      </c>
      <c r="R53" s="139"/>
      <c r="S53" s="135"/>
      <c r="T53" s="135"/>
      <c r="U53" s="135"/>
    </row>
    <row r="54" spans="1:21">
      <c r="A54" s="19"/>
    </row>
    <row r="55" spans="1:21">
      <c r="A55" s="135" t="s">
        <v>3048</v>
      </c>
      <c r="B55" s="848"/>
      <c r="C55" s="31" t="s">
        <v>2425</v>
      </c>
      <c r="D55" s="31"/>
      <c r="E55" s="853" t="b">
        <f t="shared" ref="E55:N55" si="15">VLOOKUP($A55,WobblerCalcTableLaunched,adj_IndexTeam+1,FALSE)</f>
        <v>0</v>
      </c>
      <c r="F55" s="853" t="b">
        <f t="shared" si="15"/>
        <v>0</v>
      </c>
      <c r="G55" s="853" t="b">
        <f t="shared" si="15"/>
        <v>0</v>
      </c>
      <c r="H55" s="853" t="b">
        <f t="shared" si="15"/>
        <v>0</v>
      </c>
      <c r="I55" s="853" t="b">
        <f t="shared" si="15"/>
        <v>0</v>
      </c>
      <c r="J55" s="853" t="b">
        <f t="shared" si="15"/>
        <v>0</v>
      </c>
      <c r="K55" s="853" t="b">
        <f t="shared" si="15"/>
        <v>0</v>
      </c>
      <c r="L55" s="853" t="b">
        <f t="shared" si="15"/>
        <v>0</v>
      </c>
      <c r="M55" s="853" t="b">
        <f t="shared" si="15"/>
        <v>0</v>
      </c>
      <c r="N55" s="853" t="b">
        <f t="shared" si="15"/>
        <v>0</v>
      </c>
      <c r="O55" s="847">
        <f>SUMIF(C57:C66,adj_FTECode,R57:R66)</f>
        <v>0</v>
      </c>
      <c r="P55" s="847">
        <f>SUMIF(C57:C66,adj_CostCode,R57:R66)</f>
        <v>0</v>
      </c>
      <c r="Q55" s="31"/>
      <c r="R55" s="31"/>
      <c r="S55" s="31"/>
      <c r="T55" s="31"/>
      <c r="U55" s="31"/>
    </row>
    <row r="56" spans="1:21">
      <c r="A56" s="5"/>
      <c r="B56" s="32"/>
      <c r="C56" s="32" t="s">
        <v>2424</v>
      </c>
      <c r="D56" s="32"/>
      <c r="E56" s="853">
        <f t="shared" ref="E56:N56" si="16">VLOOKUP($A55,WobblerCalcTableRoundsIntoLaunch,adj_IndexTeam+1,FALSE)</f>
        <v>0</v>
      </c>
      <c r="F56" s="853">
        <f t="shared" si="16"/>
        <v>0</v>
      </c>
      <c r="G56" s="853">
        <f t="shared" si="16"/>
        <v>0</v>
      </c>
      <c r="H56" s="853">
        <f t="shared" si="16"/>
        <v>0</v>
      </c>
      <c r="I56" s="853">
        <f t="shared" si="16"/>
        <v>0</v>
      </c>
      <c r="J56" s="853">
        <f t="shared" si="16"/>
        <v>0</v>
      </c>
      <c r="K56" s="853">
        <f t="shared" si="16"/>
        <v>0</v>
      </c>
      <c r="L56" s="853">
        <f t="shared" si="16"/>
        <v>0</v>
      </c>
      <c r="M56" s="853">
        <f t="shared" si="16"/>
        <v>0</v>
      </c>
      <c r="N56" s="853">
        <f t="shared" si="16"/>
        <v>0</v>
      </c>
      <c r="O56" s="32"/>
      <c r="P56" s="32"/>
      <c r="Q56" s="32"/>
      <c r="R56" s="32"/>
      <c r="S56" s="32"/>
      <c r="T56" s="32"/>
      <c r="U56" s="32"/>
    </row>
    <row r="57" spans="1:21">
      <c r="A57" s="5"/>
      <c r="B57" s="32"/>
      <c r="C57" s="137" t="s">
        <v>989</v>
      </c>
      <c r="D57" s="846" t="str">
        <f>IFERROR(IF(C57="","",VLOOKUP(C57,param!$A:$B,2,FALSE)),"Param Not Recognised")</f>
        <v>CP Advocacy</v>
      </c>
      <c r="E57" s="854">
        <f t="shared" ref="E57:N57" si="17">IF(E55,INDEX($Q57:$U57,E56+1),0)</f>
        <v>0</v>
      </c>
      <c r="F57" s="854">
        <f t="shared" si="17"/>
        <v>0</v>
      </c>
      <c r="G57" s="854">
        <f t="shared" si="17"/>
        <v>0</v>
      </c>
      <c r="H57" s="854">
        <f t="shared" si="17"/>
        <v>0</v>
      </c>
      <c r="I57" s="854">
        <f t="shared" si="17"/>
        <v>0</v>
      </c>
      <c r="J57" s="854">
        <f t="shared" si="17"/>
        <v>0</v>
      </c>
      <c r="K57" s="854">
        <f t="shared" si="17"/>
        <v>0</v>
      </c>
      <c r="L57" s="854">
        <f t="shared" si="17"/>
        <v>0</v>
      </c>
      <c r="M57" s="854">
        <f t="shared" si="17"/>
        <v>0</v>
      </c>
      <c r="N57" s="854">
        <f t="shared" si="17"/>
        <v>0</v>
      </c>
      <c r="O57" s="32"/>
      <c r="P57" s="32"/>
      <c r="Q57" s="135">
        <v>0</v>
      </c>
      <c r="R57" s="135">
        <v>1.5</v>
      </c>
      <c r="S57" s="135"/>
      <c r="T57" s="135"/>
      <c r="U57" s="135"/>
    </row>
    <row r="58" spans="1:21">
      <c r="A58" s="5"/>
      <c r="B58" s="32"/>
      <c r="C58" s="137" t="s">
        <v>2861</v>
      </c>
      <c r="D58" s="846" t="str">
        <f>IFERROR(IF(C58="","",VLOOKUP(C58,param!$A:$B,2,FALSE)),"Param Not Recognised")</f>
        <v>Intelligent Cloud Enterprise Revenue</v>
      </c>
      <c r="E58" s="854">
        <f t="shared" ref="E58:N58" si="18">IF(E55,INDEX($Q58:$U58,E56+1),0)</f>
        <v>0</v>
      </c>
      <c r="F58" s="854">
        <f t="shared" si="18"/>
        <v>0</v>
      </c>
      <c r="G58" s="854">
        <f t="shared" si="18"/>
        <v>0</v>
      </c>
      <c r="H58" s="854">
        <f t="shared" si="18"/>
        <v>0</v>
      </c>
      <c r="I58" s="854">
        <f t="shared" si="18"/>
        <v>0</v>
      </c>
      <c r="J58" s="854">
        <f t="shared" si="18"/>
        <v>0</v>
      </c>
      <c r="K58" s="854">
        <f t="shared" si="18"/>
        <v>0</v>
      </c>
      <c r="L58" s="854">
        <f t="shared" si="18"/>
        <v>0</v>
      </c>
      <c r="M58" s="854">
        <f t="shared" si="18"/>
        <v>0</v>
      </c>
      <c r="N58" s="854">
        <f t="shared" si="18"/>
        <v>0</v>
      </c>
      <c r="O58" s="32"/>
      <c r="P58" s="32"/>
      <c r="Q58" s="135">
        <v>0</v>
      </c>
      <c r="R58" s="487">
        <v>-500000</v>
      </c>
      <c r="S58" s="135"/>
      <c r="T58" s="135"/>
      <c r="U58" s="135"/>
    </row>
    <row r="59" spans="1:21">
      <c r="A59" s="5"/>
      <c r="B59" s="32"/>
      <c r="C59" s="137"/>
      <c r="D59" s="846"/>
      <c r="E59" s="854">
        <f t="shared" ref="E59:N59" si="19">IF(E55,INDEX($Q59:$U59,E56+1),0)</f>
        <v>0</v>
      </c>
      <c r="F59" s="854">
        <f t="shared" si="19"/>
        <v>0</v>
      </c>
      <c r="G59" s="854">
        <f t="shared" si="19"/>
        <v>0</v>
      </c>
      <c r="H59" s="854">
        <f t="shared" si="19"/>
        <v>0</v>
      </c>
      <c r="I59" s="854">
        <f t="shared" si="19"/>
        <v>0</v>
      </c>
      <c r="J59" s="854">
        <f t="shared" si="19"/>
        <v>0</v>
      </c>
      <c r="K59" s="854">
        <f t="shared" si="19"/>
        <v>0</v>
      </c>
      <c r="L59" s="854">
        <f t="shared" si="19"/>
        <v>0</v>
      </c>
      <c r="M59" s="854">
        <f t="shared" si="19"/>
        <v>0</v>
      </c>
      <c r="N59" s="854">
        <f t="shared" si="19"/>
        <v>0</v>
      </c>
      <c r="O59" s="32"/>
      <c r="P59" s="32"/>
      <c r="Q59" s="135">
        <v>0</v>
      </c>
      <c r="R59" s="135"/>
      <c r="S59" s="135"/>
      <c r="T59" s="135"/>
      <c r="U59" s="135"/>
    </row>
    <row r="60" spans="1:21">
      <c r="A60" s="5"/>
      <c r="B60" s="32"/>
      <c r="C60" s="137"/>
      <c r="D60" s="846"/>
      <c r="E60" s="854">
        <f t="shared" ref="E60:N60" si="20">IF(E55,INDEX($Q60:$U60,E56+1),0)</f>
        <v>0</v>
      </c>
      <c r="F60" s="854">
        <f t="shared" si="20"/>
        <v>0</v>
      </c>
      <c r="G60" s="854">
        <f t="shared" si="20"/>
        <v>0</v>
      </c>
      <c r="H60" s="854">
        <f t="shared" si="20"/>
        <v>0</v>
      </c>
      <c r="I60" s="854">
        <f t="shared" si="20"/>
        <v>0</v>
      </c>
      <c r="J60" s="854">
        <f t="shared" si="20"/>
        <v>0</v>
      </c>
      <c r="K60" s="854">
        <f t="shared" si="20"/>
        <v>0</v>
      </c>
      <c r="L60" s="854">
        <f t="shared" si="20"/>
        <v>0</v>
      </c>
      <c r="M60" s="854">
        <f t="shared" si="20"/>
        <v>0</v>
      </c>
      <c r="N60" s="854">
        <f t="shared" si="20"/>
        <v>0</v>
      </c>
      <c r="O60" s="32"/>
      <c r="P60" s="32"/>
      <c r="Q60" s="135">
        <v>0</v>
      </c>
      <c r="R60" s="135"/>
      <c r="S60" s="135"/>
      <c r="T60" s="135"/>
      <c r="U60" s="135"/>
    </row>
    <row r="61" spans="1:21">
      <c r="A61" s="5"/>
      <c r="B61" s="32"/>
      <c r="C61" s="137"/>
      <c r="D61" s="846"/>
      <c r="E61" s="854">
        <f t="shared" ref="E61:N61" si="21">IF(E55,INDEX($Q61:$U61,E56+1),0)</f>
        <v>0</v>
      </c>
      <c r="F61" s="854">
        <f t="shared" si="21"/>
        <v>0</v>
      </c>
      <c r="G61" s="854">
        <f t="shared" si="21"/>
        <v>0</v>
      </c>
      <c r="H61" s="854">
        <f t="shared" si="21"/>
        <v>0</v>
      </c>
      <c r="I61" s="854">
        <f t="shared" si="21"/>
        <v>0</v>
      </c>
      <c r="J61" s="854">
        <f t="shared" si="21"/>
        <v>0</v>
      </c>
      <c r="K61" s="854">
        <f t="shared" si="21"/>
        <v>0</v>
      </c>
      <c r="L61" s="854">
        <f t="shared" si="21"/>
        <v>0</v>
      </c>
      <c r="M61" s="854">
        <f t="shared" si="21"/>
        <v>0</v>
      </c>
      <c r="N61" s="854">
        <f t="shared" si="21"/>
        <v>0</v>
      </c>
      <c r="O61" s="32"/>
      <c r="P61" s="32"/>
      <c r="Q61" s="135">
        <v>0</v>
      </c>
      <c r="R61" s="135"/>
      <c r="S61" s="135"/>
      <c r="T61" s="135"/>
      <c r="U61" s="135"/>
    </row>
    <row r="62" spans="1:21">
      <c r="A62" s="5"/>
      <c r="B62" s="32"/>
      <c r="C62" s="137"/>
      <c r="D62" s="846"/>
      <c r="E62" s="854">
        <f t="shared" ref="E62:N62" si="22">IF(E55,INDEX($Q62:$U62,E56+1),0)</f>
        <v>0</v>
      </c>
      <c r="F62" s="854">
        <f t="shared" si="22"/>
        <v>0</v>
      </c>
      <c r="G62" s="854">
        <f t="shared" si="22"/>
        <v>0</v>
      </c>
      <c r="H62" s="854">
        <f t="shared" si="22"/>
        <v>0</v>
      </c>
      <c r="I62" s="854">
        <f t="shared" si="22"/>
        <v>0</v>
      </c>
      <c r="J62" s="854">
        <f t="shared" si="22"/>
        <v>0</v>
      </c>
      <c r="K62" s="854">
        <f t="shared" si="22"/>
        <v>0</v>
      </c>
      <c r="L62" s="854">
        <f t="shared" si="22"/>
        <v>0</v>
      </c>
      <c r="M62" s="854">
        <f t="shared" si="22"/>
        <v>0</v>
      </c>
      <c r="N62" s="854">
        <f t="shared" si="22"/>
        <v>0</v>
      </c>
      <c r="O62" s="32"/>
      <c r="P62" s="32"/>
      <c r="Q62" s="135">
        <v>0</v>
      </c>
      <c r="R62" s="135"/>
      <c r="S62" s="135"/>
      <c r="T62" s="135"/>
      <c r="U62" s="135"/>
    </row>
    <row r="63" spans="1:21">
      <c r="A63" s="5"/>
      <c r="B63" s="32"/>
      <c r="C63" s="137"/>
      <c r="D63" s="846"/>
      <c r="E63" s="854">
        <f t="shared" ref="E63:N63" si="23">IF(E55,INDEX($Q63:$U63,E56+1),0)</f>
        <v>0</v>
      </c>
      <c r="F63" s="854">
        <f t="shared" si="23"/>
        <v>0</v>
      </c>
      <c r="G63" s="854">
        <f t="shared" si="23"/>
        <v>0</v>
      </c>
      <c r="H63" s="854">
        <f t="shared" si="23"/>
        <v>0</v>
      </c>
      <c r="I63" s="854">
        <f t="shared" si="23"/>
        <v>0</v>
      </c>
      <c r="J63" s="854">
        <f t="shared" si="23"/>
        <v>0</v>
      </c>
      <c r="K63" s="854">
        <f t="shared" si="23"/>
        <v>0</v>
      </c>
      <c r="L63" s="854">
        <f t="shared" si="23"/>
        <v>0</v>
      </c>
      <c r="M63" s="854">
        <f t="shared" si="23"/>
        <v>0</v>
      </c>
      <c r="N63" s="854">
        <f t="shared" si="23"/>
        <v>0</v>
      </c>
      <c r="O63" s="32"/>
      <c r="P63" s="32"/>
      <c r="Q63" s="135">
        <v>0</v>
      </c>
      <c r="R63" s="135"/>
      <c r="S63" s="135"/>
      <c r="T63" s="135"/>
      <c r="U63" s="135"/>
    </row>
    <row r="64" spans="1:21">
      <c r="A64" s="5"/>
      <c r="B64" s="32"/>
      <c r="C64" s="137"/>
      <c r="D64" s="846"/>
      <c r="E64" s="854">
        <f t="shared" ref="E64:N64" si="24">IF(E55,INDEX($Q64:$U64,E56+1),0)</f>
        <v>0</v>
      </c>
      <c r="F64" s="854">
        <f t="shared" si="24"/>
        <v>0</v>
      </c>
      <c r="G64" s="854">
        <f t="shared" si="24"/>
        <v>0</v>
      </c>
      <c r="H64" s="854">
        <f t="shared" si="24"/>
        <v>0</v>
      </c>
      <c r="I64" s="854">
        <f t="shared" si="24"/>
        <v>0</v>
      </c>
      <c r="J64" s="854">
        <f t="shared" si="24"/>
        <v>0</v>
      </c>
      <c r="K64" s="854">
        <f t="shared" si="24"/>
        <v>0</v>
      </c>
      <c r="L64" s="854">
        <f t="shared" si="24"/>
        <v>0</v>
      </c>
      <c r="M64" s="854">
        <f t="shared" si="24"/>
        <v>0</v>
      </c>
      <c r="N64" s="854">
        <f t="shared" si="24"/>
        <v>0</v>
      </c>
      <c r="O64" s="32"/>
      <c r="P64" s="32"/>
      <c r="Q64" s="135">
        <v>0</v>
      </c>
      <c r="R64" s="135"/>
      <c r="S64" s="135"/>
      <c r="T64" s="135"/>
      <c r="U64" s="135"/>
    </row>
    <row r="65" spans="1:21">
      <c r="A65" s="5"/>
      <c r="B65" s="32"/>
      <c r="C65" s="137"/>
      <c r="D65" s="846"/>
      <c r="E65" s="854">
        <f t="shared" ref="E65:N65" si="25">IF(E55,INDEX($Q65:$U65,E56+1),0)</f>
        <v>0</v>
      </c>
      <c r="F65" s="854">
        <f t="shared" si="25"/>
        <v>0</v>
      </c>
      <c r="G65" s="854">
        <f t="shared" si="25"/>
        <v>0</v>
      </c>
      <c r="H65" s="854">
        <f t="shared" si="25"/>
        <v>0</v>
      </c>
      <c r="I65" s="854">
        <f t="shared" si="25"/>
        <v>0</v>
      </c>
      <c r="J65" s="854">
        <f t="shared" si="25"/>
        <v>0</v>
      </c>
      <c r="K65" s="854">
        <f t="shared" si="25"/>
        <v>0</v>
      </c>
      <c r="L65" s="854">
        <f t="shared" si="25"/>
        <v>0</v>
      </c>
      <c r="M65" s="854">
        <f t="shared" si="25"/>
        <v>0</v>
      </c>
      <c r="N65" s="854">
        <f t="shared" si="25"/>
        <v>0</v>
      </c>
      <c r="O65" s="32"/>
      <c r="P65" s="32"/>
      <c r="Q65" s="135">
        <v>0</v>
      </c>
      <c r="R65" s="135"/>
      <c r="S65" s="135"/>
      <c r="T65" s="135"/>
      <c r="U65" s="135"/>
    </row>
    <row r="66" spans="1:21">
      <c r="A66" s="5"/>
      <c r="B66" s="32"/>
      <c r="C66" s="137"/>
      <c r="D66" s="846"/>
      <c r="E66" s="854">
        <f t="shared" ref="E66:N66" si="26">IF(E55,INDEX($Q66:$U66,E56+1),0)</f>
        <v>0</v>
      </c>
      <c r="F66" s="854">
        <f t="shared" si="26"/>
        <v>0</v>
      </c>
      <c r="G66" s="854">
        <f t="shared" si="26"/>
        <v>0</v>
      </c>
      <c r="H66" s="854">
        <f t="shared" si="26"/>
        <v>0</v>
      </c>
      <c r="I66" s="854">
        <f t="shared" si="26"/>
        <v>0</v>
      </c>
      <c r="J66" s="854">
        <f t="shared" si="26"/>
        <v>0</v>
      </c>
      <c r="K66" s="854">
        <f t="shared" si="26"/>
        <v>0</v>
      </c>
      <c r="L66" s="854">
        <f t="shared" si="26"/>
        <v>0</v>
      </c>
      <c r="M66" s="854">
        <f t="shared" si="26"/>
        <v>0</v>
      </c>
      <c r="N66" s="854">
        <f t="shared" si="26"/>
        <v>0</v>
      </c>
      <c r="O66" s="32"/>
      <c r="P66" s="32"/>
      <c r="Q66" s="135">
        <v>0</v>
      </c>
      <c r="R66" s="487"/>
      <c r="S66" s="487"/>
      <c r="T66" s="135"/>
      <c r="U66" s="135"/>
    </row>
    <row r="67" spans="1:21">
      <c r="A67" s="19"/>
    </row>
    <row r="68" spans="1:21">
      <c r="A68" s="135" t="s">
        <v>2432</v>
      </c>
      <c r="B68" s="848"/>
      <c r="C68" s="31" t="s">
        <v>2425</v>
      </c>
      <c r="D68" s="31"/>
      <c r="E68" s="853" t="b">
        <f t="shared" ref="E68:N68" si="27">VLOOKUP($A68,WobblerCalcTableLaunched,adj_IndexTeam+1,FALSE)</f>
        <v>0</v>
      </c>
      <c r="F68" s="853" t="b">
        <f t="shared" si="27"/>
        <v>0</v>
      </c>
      <c r="G68" s="853" t="b">
        <f t="shared" si="27"/>
        <v>0</v>
      </c>
      <c r="H68" s="853" t="b">
        <f t="shared" si="27"/>
        <v>0</v>
      </c>
      <c r="I68" s="853" t="b">
        <f t="shared" si="27"/>
        <v>0</v>
      </c>
      <c r="J68" s="853" t="b">
        <f t="shared" si="27"/>
        <v>0</v>
      </c>
      <c r="K68" s="853" t="b">
        <f t="shared" si="27"/>
        <v>0</v>
      </c>
      <c r="L68" s="853" t="b">
        <f t="shared" si="27"/>
        <v>0</v>
      </c>
      <c r="M68" s="853" t="b">
        <f t="shared" si="27"/>
        <v>0</v>
      </c>
      <c r="N68" s="853" t="b">
        <f t="shared" si="27"/>
        <v>0</v>
      </c>
      <c r="O68" s="847">
        <f>SUMIF(C70:C77,adj_FTECode,R70:R77)</f>
        <v>0</v>
      </c>
      <c r="P68" s="847">
        <f>SUMIF(C70:C77,adj_CostCode,R70:R77)</f>
        <v>0</v>
      </c>
      <c r="Q68" s="31"/>
      <c r="R68" s="31"/>
      <c r="S68" s="31"/>
      <c r="T68" s="31"/>
      <c r="U68" s="31"/>
    </row>
    <row r="69" spans="1:21">
      <c r="A69" s="5"/>
      <c r="B69" s="32"/>
      <c r="C69" s="32" t="s">
        <v>2424</v>
      </c>
      <c r="D69" s="32"/>
      <c r="E69" s="853">
        <f t="shared" ref="E69:N69" si="28">VLOOKUP($A68,WobblerCalcTableRoundsIntoLaunch,adj_IndexTeam+1,FALSE)</f>
        <v>0</v>
      </c>
      <c r="F69" s="853">
        <f t="shared" si="28"/>
        <v>0</v>
      </c>
      <c r="G69" s="853">
        <f t="shared" si="28"/>
        <v>0</v>
      </c>
      <c r="H69" s="853">
        <f t="shared" si="28"/>
        <v>0</v>
      </c>
      <c r="I69" s="853">
        <f t="shared" si="28"/>
        <v>0</v>
      </c>
      <c r="J69" s="853">
        <f t="shared" si="28"/>
        <v>0</v>
      </c>
      <c r="K69" s="853">
        <f t="shared" si="28"/>
        <v>0</v>
      </c>
      <c r="L69" s="853">
        <f t="shared" si="28"/>
        <v>0</v>
      </c>
      <c r="M69" s="853">
        <f t="shared" si="28"/>
        <v>0</v>
      </c>
      <c r="N69" s="853">
        <f t="shared" si="28"/>
        <v>0</v>
      </c>
      <c r="O69" s="32"/>
      <c r="P69" s="32"/>
      <c r="Q69" s="32"/>
      <c r="R69" s="32"/>
      <c r="S69" s="32"/>
      <c r="T69" s="32"/>
      <c r="U69" s="32"/>
    </row>
    <row r="70" spans="1:21">
      <c r="A70" s="5"/>
      <c r="B70" s="32"/>
      <c r="C70" s="137" t="s">
        <v>987</v>
      </c>
      <c r="D70" s="846" t="str">
        <f>IFERROR(IF(C70="","",VLOOKUP(C70,param!$A:$B,2,FALSE)),"Param Not Recognised")</f>
        <v>FTEs</v>
      </c>
      <c r="E70" s="854">
        <f t="shared" ref="E70:N70" si="29">IF(E68,INDEX($Q70:$U70,E69+1),0)</f>
        <v>0</v>
      </c>
      <c r="F70" s="854">
        <f t="shared" si="29"/>
        <v>0</v>
      </c>
      <c r="G70" s="854">
        <f t="shared" si="29"/>
        <v>0</v>
      </c>
      <c r="H70" s="854">
        <f t="shared" si="29"/>
        <v>0</v>
      </c>
      <c r="I70" s="854">
        <f t="shared" si="29"/>
        <v>0</v>
      </c>
      <c r="J70" s="854">
        <f t="shared" si="29"/>
        <v>0</v>
      </c>
      <c r="K70" s="854">
        <f t="shared" si="29"/>
        <v>0</v>
      </c>
      <c r="L70" s="854">
        <f t="shared" si="29"/>
        <v>0</v>
      </c>
      <c r="M70" s="854">
        <f t="shared" si="29"/>
        <v>0</v>
      </c>
      <c r="N70" s="854">
        <f t="shared" si="29"/>
        <v>0</v>
      </c>
      <c r="O70" s="32"/>
      <c r="P70" s="32"/>
      <c r="Q70" s="135">
        <v>0</v>
      </c>
      <c r="R70" s="135">
        <v>15</v>
      </c>
      <c r="S70" s="135"/>
      <c r="T70" s="135"/>
      <c r="U70" s="135"/>
    </row>
    <row r="71" spans="1:21">
      <c r="A71" s="5"/>
      <c r="B71" s="32"/>
      <c r="C71" s="137" t="s">
        <v>988</v>
      </c>
      <c r="D71" s="846" t="str">
        <f>IFERROR(IF(C71="","",VLOOKUP(C71,param!$A:$B,2,FALSE)),"Param Not Recognised")</f>
        <v>Costs</v>
      </c>
      <c r="E71" s="854">
        <f t="shared" ref="E71:N71" si="30">IF(E68,INDEX($Q71:$U71,E69+1),0)</f>
        <v>0</v>
      </c>
      <c r="F71" s="854">
        <f t="shared" si="30"/>
        <v>0</v>
      </c>
      <c r="G71" s="854">
        <f t="shared" si="30"/>
        <v>0</v>
      </c>
      <c r="H71" s="854">
        <f t="shared" si="30"/>
        <v>0</v>
      </c>
      <c r="I71" s="854">
        <f t="shared" si="30"/>
        <v>0</v>
      </c>
      <c r="J71" s="854">
        <f t="shared" si="30"/>
        <v>0</v>
      </c>
      <c r="K71" s="854">
        <f t="shared" si="30"/>
        <v>0</v>
      </c>
      <c r="L71" s="854">
        <f t="shared" si="30"/>
        <v>0</v>
      </c>
      <c r="M71" s="854">
        <f t="shared" si="30"/>
        <v>0</v>
      </c>
      <c r="N71" s="854">
        <f t="shared" si="30"/>
        <v>0</v>
      </c>
      <c r="O71" s="32"/>
      <c r="P71" s="32"/>
      <c r="Q71" s="135">
        <v>0</v>
      </c>
      <c r="R71" s="487">
        <v>2000000</v>
      </c>
      <c r="S71" s="135"/>
      <c r="T71" s="135"/>
      <c r="U71" s="135"/>
    </row>
    <row r="72" spans="1:21">
      <c r="A72" s="5"/>
      <c r="B72" s="32"/>
      <c r="C72" s="137" t="s">
        <v>989</v>
      </c>
      <c r="D72" s="846" t="str">
        <f>IFERROR(IF(C72="","",VLOOKUP(C72,param!$A:$B,2,FALSE)),"Param Not Recognised")</f>
        <v>CP Advocacy</v>
      </c>
      <c r="E72" s="854">
        <f t="shared" ref="E72:N72" si="31">IF(E68,INDEX($Q72:$U72,E69+1),0)</f>
        <v>0</v>
      </c>
      <c r="F72" s="854">
        <f t="shared" si="31"/>
        <v>0</v>
      </c>
      <c r="G72" s="854">
        <f t="shared" si="31"/>
        <v>0</v>
      </c>
      <c r="H72" s="854">
        <f t="shared" si="31"/>
        <v>0</v>
      </c>
      <c r="I72" s="854">
        <f t="shared" si="31"/>
        <v>0</v>
      </c>
      <c r="J72" s="854">
        <f t="shared" si="31"/>
        <v>0</v>
      </c>
      <c r="K72" s="854">
        <f t="shared" si="31"/>
        <v>0</v>
      </c>
      <c r="L72" s="854">
        <f t="shared" si="31"/>
        <v>0</v>
      </c>
      <c r="M72" s="854">
        <f t="shared" si="31"/>
        <v>0</v>
      </c>
      <c r="N72" s="854">
        <f t="shared" si="31"/>
        <v>0</v>
      </c>
      <c r="O72" s="32"/>
      <c r="P72" s="32"/>
      <c r="Q72" s="135">
        <v>0</v>
      </c>
      <c r="R72" s="135">
        <v>0.5</v>
      </c>
      <c r="S72" s="135"/>
      <c r="T72" s="135"/>
      <c r="U72" s="135"/>
    </row>
    <row r="73" spans="1:21">
      <c r="A73" s="5"/>
      <c r="B73" s="32"/>
      <c r="C73" s="137" t="s">
        <v>2442</v>
      </c>
      <c r="D73" s="846" t="str">
        <f>IFERROR(IF(C73="","",VLOOKUP(C73,param!$A:$B,2,FALSE)),"Param Not Recognised")</f>
        <v>Collaboration</v>
      </c>
      <c r="E73" s="854">
        <f t="shared" ref="E73:N73" si="32">IF(E68,INDEX($Q73:$U73,E69+1),0)</f>
        <v>0</v>
      </c>
      <c r="F73" s="854">
        <f t="shared" si="32"/>
        <v>0</v>
      </c>
      <c r="G73" s="854">
        <f t="shared" si="32"/>
        <v>0</v>
      </c>
      <c r="H73" s="854">
        <f t="shared" si="32"/>
        <v>0</v>
      </c>
      <c r="I73" s="854">
        <f t="shared" si="32"/>
        <v>0</v>
      </c>
      <c r="J73" s="854">
        <f t="shared" si="32"/>
        <v>0</v>
      </c>
      <c r="K73" s="854">
        <f t="shared" si="32"/>
        <v>0</v>
      </c>
      <c r="L73" s="854">
        <f t="shared" si="32"/>
        <v>0</v>
      </c>
      <c r="M73" s="854">
        <f t="shared" si="32"/>
        <v>0</v>
      </c>
      <c r="N73" s="854">
        <f t="shared" si="32"/>
        <v>0</v>
      </c>
      <c r="O73" s="32"/>
      <c r="P73" s="32"/>
      <c r="Q73" s="135">
        <v>0</v>
      </c>
      <c r="R73" s="135">
        <v>-3</v>
      </c>
      <c r="S73" s="135"/>
      <c r="T73" s="135"/>
      <c r="U73" s="135"/>
    </row>
    <row r="74" spans="1:21">
      <c r="A74" s="5"/>
      <c r="B74" s="32"/>
      <c r="C74" s="137" t="s">
        <v>990</v>
      </c>
      <c r="D74" s="846" t="str">
        <f>IFERROR(IF(C74="","",VLOOKUP(C74,param!$A:$B,2,FALSE)),"Param Not Recognised")</f>
        <v>WHI</v>
      </c>
      <c r="E74" s="854">
        <f t="shared" ref="E74:N74" si="33">IF(E68,INDEX($Q74:$U74,E69+1),0)</f>
        <v>0</v>
      </c>
      <c r="F74" s="854">
        <f t="shared" si="33"/>
        <v>0</v>
      </c>
      <c r="G74" s="854">
        <f t="shared" si="33"/>
        <v>0</v>
      </c>
      <c r="H74" s="854">
        <f t="shared" si="33"/>
        <v>0</v>
      </c>
      <c r="I74" s="854">
        <f t="shared" si="33"/>
        <v>0</v>
      </c>
      <c r="J74" s="854">
        <f t="shared" si="33"/>
        <v>0</v>
      </c>
      <c r="K74" s="854">
        <f t="shared" si="33"/>
        <v>0</v>
      </c>
      <c r="L74" s="854">
        <f t="shared" si="33"/>
        <v>0</v>
      </c>
      <c r="M74" s="854">
        <f t="shared" si="33"/>
        <v>0</v>
      </c>
      <c r="N74" s="854">
        <f t="shared" si="33"/>
        <v>0</v>
      </c>
      <c r="O74" s="32"/>
      <c r="P74" s="32"/>
      <c r="Q74" s="135">
        <v>0</v>
      </c>
      <c r="R74" s="135">
        <v>-1</v>
      </c>
      <c r="S74" s="135"/>
      <c r="T74" s="135"/>
      <c r="U74" s="135"/>
    </row>
    <row r="75" spans="1:21">
      <c r="A75" s="5"/>
      <c r="B75" s="32"/>
      <c r="C75" s="137"/>
      <c r="D75" s="846"/>
      <c r="E75" s="854">
        <f t="shared" ref="E75:N75" si="34">IF(E68,INDEX($Q75:$U75,E69+1),0)</f>
        <v>0</v>
      </c>
      <c r="F75" s="854">
        <f t="shared" si="34"/>
        <v>0</v>
      </c>
      <c r="G75" s="854">
        <f t="shared" si="34"/>
        <v>0</v>
      </c>
      <c r="H75" s="854">
        <f t="shared" si="34"/>
        <v>0</v>
      </c>
      <c r="I75" s="854">
        <f t="shared" si="34"/>
        <v>0</v>
      </c>
      <c r="J75" s="854">
        <f t="shared" si="34"/>
        <v>0</v>
      </c>
      <c r="K75" s="854">
        <f t="shared" si="34"/>
        <v>0</v>
      </c>
      <c r="L75" s="854">
        <f t="shared" si="34"/>
        <v>0</v>
      </c>
      <c r="M75" s="854">
        <f t="shared" si="34"/>
        <v>0</v>
      </c>
      <c r="N75" s="854">
        <f t="shared" si="34"/>
        <v>0</v>
      </c>
      <c r="O75" s="32"/>
      <c r="P75" s="32"/>
      <c r="Q75" s="135">
        <v>0</v>
      </c>
      <c r="R75" s="135"/>
      <c r="S75" s="135"/>
      <c r="T75" s="135"/>
      <c r="U75" s="135"/>
    </row>
    <row r="76" spans="1:21">
      <c r="A76" s="5"/>
      <c r="B76" s="32"/>
      <c r="C76" s="137"/>
      <c r="D76" s="846"/>
      <c r="E76" s="854">
        <f t="shared" ref="E76:N76" si="35">IF(E68,INDEX($Q76:$U76,E69+1),0)</f>
        <v>0</v>
      </c>
      <c r="F76" s="854">
        <f t="shared" si="35"/>
        <v>0</v>
      </c>
      <c r="G76" s="854">
        <f t="shared" si="35"/>
        <v>0</v>
      </c>
      <c r="H76" s="854">
        <f t="shared" si="35"/>
        <v>0</v>
      </c>
      <c r="I76" s="854">
        <f t="shared" si="35"/>
        <v>0</v>
      </c>
      <c r="J76" s="854">
        <f t="shared" si="35"/>
        <v>0</v>
      </c>
      <c r="K76" s="854">
        <f t="shared" si="35"/>
        <v>0</v>
      </c>
      <c r="L76" s="854">
        <f t="shared" si="35"/>
        <v>0</v>
      </c>
      <c r="M76" s="854">
        <f t="shared" si="35"/>
        <v>0</v>
      </c>
      <c r="N76" s="854">
        <f t="shared" si="35"/>
        <v>0</v>
      </c>
      <c r="O76" s="32"/>
      <c r="P76" s="32"/>
      <c r="Q76" s="135">
        <v>0</v>
      </c>
      <c r="R76" s="135"/>
      <c r="S76" s="135"/>
      <c r="T76" s="135"/>
      <c r="U76" s="135"/>
    </row>
    <row r="77" spans="1:21">
      <c r="A77" s="5"/>
      <c r="B77" s="32"/>
      <c r="C77" s="137"/>
      <c r="D77" s="846"/>
      <c r="E77" s="854">
        <f t="shared" ref="E77:N77" si="36">IF(E68,INDEX($Q77:$U77,E69+1),0)</f>
        <v>0</v>
      </c>
      <c r="F77" s="854">
        <f t="shared" si="36"/>
        <v>0</v>
      </c>
      <c r="G77" s="854">
        <f t="shared" si="36"/>
        <v>0</v>
      </c>
      <c r="H77" s="854">
        <f t="shared" si="36"/>
        <v>0</v>
      </c>
      <c r="I77" s="854">
        <f t="shared" si="36"/>
        <v>0</v>
      </c>
      <c r="J77" s="854">
        <f t="shared" si="36"/>
        <v>0</v>
      </c>
      <c r="K77" s="854">
        <f t="shared" si="36"/>
        <v>0</v>
      </c>
      <c r="L77" s="854">
        <f t="shared" si="36"/>
        <v>0</v>
      </c>
      <c r="M77" s="854">
        <f t="shared" si="36"/>
        <v>0</v>
      </c>
      <c r="N77" s="854">
        <f t="shared" si="36"/>
        <v>0</v>
      </c>
      <c r="O77" s="32"/>
      <c r="P77" s="32"/>
      <c r="Q77" s="135">
        <v>0</v>
      </c>
      <c r="R77" s="487"/>
      <c r="S77" s="487"/>
      <c r="T77" s="135"/>
      <c r="U77" s="135"/>
    </row>
    <row r="78" spans="1:21">
      <c r="A78" s="19"/>
    </row>
    <row r="79" spans="1:21">
      <c r="A79" s="135" t="s">
        <v>2433</v>
      </c>
      <c r="B79" s="848"/>
      <c r="C79" s="31" t="s">
        <v>2425</v>
      </c>
      <c r="D79" s="31"/>
      <c r="E79" s="853" t="b">
        <f t="shared" ref="E79:N79" si="37">VLOOKUP($A79,WobblerCalcTableLaunched,adj_IndexTeam+1,FALSE)</f>
        <v>0</v>
      </c>
      <c r="F79" s="853" t="b">
        <f t="shared" si="37"/>
        <v>0</v>
      </c>
      <c r="G79" s="853" t="b">
        <f t="shared" si="37"/>
        <v>0</v>
      </c>
      <c r="H79" s="853" t="b">
        <f t="shared" si="37"/>
        <v>0</v>
      </c>
      <c r="I79" s="853" t="b">
        <f t="shared" si="37"/>
        <v>0</v>
      </c>
      <c r="J79" s="853" t="b">
        <f t="shared" si="37"/>
        <v>0</v>
      </c>
      <c r="K79" s="853" t="b">
        <f t="shared" si="37"/>
        <v>0</v>
      </c>
      <c r="L79" s="853" t="b">
        <f t="shared" si="37"/>
        <v>0</v>
      </c>
      <c r="M79" s="853" t="b">
        <f t="shared" si="37"/>
        <v>0</v>
      </c>
      <c r="N79" s="853" t="b">
        <f t="shared" si="37"/>
        <v>0</v>
      </c>
      <c r="O79" s="847">
        <f>SUMIF(C81:C90,adj_FTECode,R81:R90)</f>
        <v>0</v>
      </c>
      <c r="P79" s="847">
        <f>SUMIF(C81:C90,adj_CostCode,R81:R90)</f>
        <v>0</v>
      </c>
      <c r="Q79" s="31"/>
      <c r="R79" s="31"/>
      <c r="S79" s="31"/>
      <c r="T79" s="31"/>
      <c r="U79" s="31"/>
    </row>
    <row r="80" spans="1:21">
      <c r="A80" s="5"/>
      <c r="B80" s="32"/>
      <c r="C80" s="32" t="s">
        <v>2424</v>
      </c>
      <c r="D80" s="32"/>
      <c r="E80" s="853">
        <f t="shared" ref="E80:N80" si="38">VLOOKUP($A79,WobblerCalcTableRoundsIntoLaunch,adj_IndexTeam+1,FALSE)</f>
        <v>0</v>
      </c>
      <c r="F80" s="853">
        <f t="shared" si="38"/>
        <v>0</v>
      </c>
      <c r="G80" s="853">
        <f t="shared" si="38"/>
        <v>0</v>
      </c>
      <c r="H80" s="853">
        <f t="shared" si="38"/>
        <v>0</v>
      </c>
      <c r="I80" s="853">
        <f t="shared" si="38"/>
        <v>0</v>
      </c>
      <c r="J80" s="853">
        <f t="shared" si="38"/>
        <v>0</v>
      </c>
      <c r="K80" s="853">
        <f t="shared" si="38"/>
        <v>0</v>
      </c>
      <c r="L80" s="853">
        <f t="shared" si="38"/>
        <v>0</v>
      </c>
      <c r="M80" s="853">
        <f t="shared" si="38"/>
        <v>0</v>
      </c>
      <c r="N80" s="853">
        <f t="shared" si="38"/>
        <v>0</v>
      </c>
      <c r="O80" s="32"/>
      <c r="P80" s="32"/>
      <c r="Q80" s="32"/>
      <c r="R80" s="32"/>
      <c r="S80" s="32"/>
      <c r="T80" s="32"/>
      <c r="U80" s="32"/>
    </row>
    <row r="81" spans="1:21">
      <c r="A81" s="5"/>
      <c r="B81" s="32"/>
      <c r="C81" s="137" t="s">
        <v>987</v>
      </c>
      <c r="D81" s="846" t="str">
        <f>IFERROR(IF(C81="","",VLOOKUP(C81,param!$A:$B,2,FALSE)),"Param Not Recognised")</f>
        <v>FTEs</v>
      </c>
      <c r="E81" s="854">
        <f t="shared" ref="E81:N81" si="39">IF(E79,INDEX($Q81:$U81,E80+1),0)</f>
        <v>0</v>
      </c>
      <c r="F81" s="854">
        <f t="shared" si="39"/>
        <v>0</v>
      </c>
      <c r="G81" s="854">
        <f t="shared" si="39"/>
        <v>0</v>
      </c>
      <c r="H81" s="854">
        <f t="shared" si="39"/>
        <v>0</v>
      </c>
      <c r="I81" s="854">
        <f t="shared" si="39"/>
        <v>0</v>
      </c>
      <c r="J81" s="854">
        <f t="shared" si="39"/>
        <v>0</v>
      </c>
      <c r="K81" s="854">
        <f t="shared" si="39"/>
        <v>0</v>
      </c>
      <c r="L81" s="854">
        <f t="shared" si="39"/>
        <v>0</v>
      </c>
      <c r="M81" s="854">
        <f t="shared" si="39"/>
        <v>0</v>
      </c>
      <c r="N81" s="854">
        <f t="shared" si="39"/>
        <v>0</v>
      </c>
      <c r="O81" s="32"/>
      <c r="P81" s="32"/>
      <c r="Q81" s="135">
        <v>0</v>
      </c>
      <c r="R81" s="135">
        <v>20</v>
      </c>
      <c r="S81" s="135"/>
      <c r="T81" s="135"/>
      <c r="U81" s="135"/>
    </row>
    <row r="82" spans="1:21">
      <c r="A82" s="5"/>
      <c r="B82" s="32"/>
      <c r="C82" s="137" t="s">
        <v>988</v>
      </c>
      <c r="D82" s="846" t="str">
        <f>IFERROR(IF(C82="","",VLOOKUP(C82,param!$A:$B,2,FALSE)),"Param Not Recognised")</f>
        <v>Costs</v>
      </c>
      <c r="E82" s="854">
        <f t="shared" ref="E82:N82" si="40">IF(E79,INDEX($Q82:$U82,E80+1),0)</f>
        <v>0</v>
      </c>
      <c r="F82" s="854">
        <f t="shared" si="40"/>
        <v>0</v>
      </c>
      <c r="G82" s="854">
        <f t="shared" si="40"/>
        <v>0</v>
      </c>
      <c r="H82" s="854">
        <f t="shared" si="40"/>
        <v>0</v>
      </c>
      <c r="I82" s="854">
        <f t="shared" si="40"/>
        <v>0</v>
      </c>
      <c r="J82" s="854">
        <f t="shared" si="40"/>
        <v>0</v>
      </c>
      <c r="K82" s="854">
        <f t="shared" si="40"/>
        <v>0</v>
      </c>
      <c r="L82" s="854">
        <f t="shared" si="40"/>
        <v>0</v>
      </c>
      <c r="M82" s="854">
        <f t="shared" si="40"/>
        <v>0</v>
      </c>
      <c r="N82" s="854">
        <f t="shared" si="40"/>
        <v>0</v>
      </c>
      <c r="O82" s="32"/>
      <c r="P82" s="32"/>
      <c r="Q82" s="135">
        <v>0</v>
      </c>
      <c r="R82" s="487">
        <v>2000000</v>
      </c>
      <c r="S82" s="135"/>
      <c r="T82" s="135"/>
      <c r="U82" s="135"/>
    </row>
    <row r="83" spans="1:21">
      <c r="A83" s="5"/>
      <c r="B83" s="32"/>
      <c r="C83" s="137" t="s">
        <v>989</v>
      </c>
      <c r="D83" s="846" t="str">
        <f>IFERROR(IF(C83="","",VLOOKUP(C83,param!$A:$B,2,FALSE)),"Param Not Recognised")</f>
        <v>CP Advocacy</v>
      </c>
      <c r="E83" s="854">
        <f t="shared" ref="E83:N83" si="41">IF(E79,INDEX($Q83:$U83,E80+1),0)</f>
        <v>0</v>
      </c>
      <c r="F83" s="854">
        <f t="shared" si="41"/>
        <v>0</v>
      </c>
      <c r="G83" s="854">
        <f t="shared" si="41"/>
        <v>0</v>
      </c>
      <c r="H83" s="854">
        <f t="shared" si="41"/>
        <v>0</v>
      </c>
      <c r="I83" s="854">
        <f t="shared" si="41"/>
        <v>0</v>
      </c>
      <c r="J83" s="854">
        <f t="shared" si="41"/>
        <v>0</v>
      </c>
      <c r="K83" s="854">
        <f t="shared" si="41"/>
        <v>0</v>
      </c>
      <c r="L83" s="854">
        <f t="shared" si="41"/>
        <v>0</v>
      </c>
      <c r="M83" s="854">
        <f t="shared" si="41"/>
        <v>0</v>
      </c>
      <c r="N83" s="854">
        <f t="shared" si="41"/>
        <v>0</v>
      </c>
      <c r="O83" s="32"/>
      <c r="P83" s="32"/>
      <c r="Q83" s="135">
        <v>0</v>
      </c>
      <c r="R83" s="135">
        <v>1</v>
      </c>
      <c r="S83" s="135"/>
      <c r="T83" s="135"/>
      <c r="U83" s="135"/>
    </row>
    <row r="84" spans="1:21">
      <c r="A84" s="5"/>
      <c r="B84" s="32"/>
      <c r="C84" s="137" t="s">
        <v>2442</v>
      </c>
      <c r="D84" s="846" t="str">
        <f>IFERROR(IF(C84="","",VLOOKUP(C84,param!$A:$B,2,FALSE)),"Param Not Recognised")</f>
        <v>Collaboration</v>
      </c>
      <c r="E84" s="854">
        <f t="shared" ref="E84:N84" si="42">IF(E79,INDEX($Q84:$U84,E80+1),0)</f>
        <v>0</v>
      </c>
      <c r="F84" s="854">
        <f t="shared" si="42"/>
        <v>0</v>
      </c>
      <c r="G84" s="854">
        <f t="shared" si="42"/>
        <v>0</v>
      </c>
      <c r="H84" s="854">
        <f t="shared" si="42"/>
        <v>0</v>
      </c>
      <c r="I84" s="854">
        <f t="shared" si="42"/>
        <v>0</v>
      </c>
      <c r="J84" s="854">
        <f t="shared" si="42"/>
        <v>0</v>
      </c>
      <c r="K84" s="854">
        <f t="shared" si="42"/>
        <v>0</v>
      </c>
      <c r="L84" s="854">
        <f t="shared" si="42"/>
        <v>0</v>
      </c>
      <c r="M84" s="854">
        <f t="shared" si="42"/>
        <v>0</v>
      </c>
      <c r="N84" s="854">
        <f t="shared" si="42"/>
        <v>0</v>
      </c>
      <c r="O84" s="32"/>
      <c r="P84" s="32"/>
      <c r="Q84" s="135">
        <v>0</v>
      </c>
      <c r="R84" s="135">
        <v>-3</v>
      </c>
      <c r="S84" s="135"/>
      <c r="T84" s="135"/>
      <c r="U84" s="135"/>
    </row>
    <row r="85" spans="1:21">
      <c r="A85" s="5"/>
      <c r="B85" s="32"/>
      <c r="C85" s="137" t="s">
        <v>2440</v>
      </c>
      <c r="D85" s="846" t="str">
        <f>IFERROR(IF(C85="","",VLOOKUP(C85,param!$A:$B,2,FALSE)),"Param Not Recognised")</f>
        <v>Personal Computing Consumer Revenue</v>
      </c>
      <c r="E85" s="854">
        <f t="shared" ref="E85:N85" si="43">IF(E79,INDEX($Q85:$U85,E80+1),0)</f>
        <v>0</v>
      </c>
      <c r="F85" s="854">
        <f t="shared" si="43"/>
        <v>0</v>
      </c>
      <c r="G85" s="854">
        <f t="shared" si="43"/>
        <v>0</v>
      </c>
      <c r="H85" s="854">
        <f t="shared" si="43"/>
        <v>0</v>
      </c>
      <c r="I85" s="854">
        <f t="shared" si="43"/>
        <v>0</v>
      </c>
      <c r="J85" s="854">
        <f t="shared" si="43"/>
        <v>0</v>
      </c>
      <c r="K85" s="854">
        <f t="shared" si="43"/>
        <v>0</v>
      </c>
      <c r="L85" s="854">
        <f t="shared" si="43"/>
        <v>0</v>
      </c>
      <c r="M85" s="854">
        <f t="shared" si="43"/>
        <v>0</v>
      </c>
      <c r="N85" s="854">
        <f t="shared" si="43"/>
        <v>0</v>
      </c>
      <c r="O85" s="32"/>
      <c r="P85" s="32"/>
      <c r="Q85" s="135">
        <v>0</v>
      </c>
      <c r="R85" s="487">
        <v>6000000</v>
      </c>
      <c r="S85" s="135"/>
      <c r="T85" s="135"/>
      <c r="U85" s="135"/>
    </row>
    <row r="86" spans="1:21">
      <c r="A86" s="5"/>
      <c r="B86" s="32"/>
      <c r="C86" s="137" t="s">
        <v>2443</v>
      </c>
      <c r="D86" s="846" t="str">
        <f>IFERROR(IF(C86="","",VLOOKUP(C86,param!$A:$B,2,FALSE)),"Param Not Recognised")</f>
        <v>Personal Computing Consumer COGS</v>
      </c>
      <c r="E86" s="854">
        <f t="shared" ref="E86:H86" si="44">IF(E79,INDEX($Q86:$U86,E80+1),0)</f>
        <v>0</v>
      </c>
      <c r="F86" s="854">
        <f t="shared" si="44"/>
        <v>0</v>
      </c>
      <c r="G86" s="854">
        <f t="shared" si="44"/>
        <v>0</v>
      </c>
      <c r="H86" s="854">
        <f t="shared" si="44"/>
        <v>0</v>
      </c>
      <c r="I86" s="854">
        <f>IF(I79,INDEX($Q86:$U86,I80+1),0)</f>
        <v>0</v>
      </c>
      <c r="J86" s="854">
        <f t="shared" ref="J86:N86" si="45">IF(J79,INDEX($Q86:$U86,J80+1),0)</f>
        <v>0</v>
      </c>
      <c r="K86" s="854">
        <f t="shared" si="45"/>
        <v>0</v>
      </c>
      <c r="L86" s="854">
        <f t="shared" si="45"/>
        <v>0</v>
      </c>
      <c r="M86" s="854">
        <f t="shared" si="45"/>
        <v>0</v>
      </c>
      <c r="N86" s="854">
        <f t="shared" si="45"/>
        <v>0</v>
      </c>
      <c r="O86" s="32"/>
      <c r="P86" s="32"/>
      <c r="Q86" s="135">
        <v>0</v>
      </c>
      <c r="R86" s="487">
        <f>R85*0.45</f>
        <v>2700000</v>
      </c>
      <c r="S86" s="135"/>
      <c r="T86" s="135"/>
      <c r="U86" s="135"/>
    </row>
    <row r="87" spans="1:21">
      <c r="A87" s="5"/>
      <c r="B87" s="32"/>
      <c r="C87" s="137" t="s">
        <v>990</v>
      </c>
      <c r="D87" s="846" t="str">
        <f>IFERROR(IF(C87="","",VLOOKUP(C87,param!$A:$B,2,FALSE)),"Param Not Recognised")</f>
        <v>WHI</v>
      </c>
      <c r="E87" s="854">
        <f t="shared" ref="E87:N87" si="46">IF(E79,INDEX($Q87:$U87,E80+1),0)</f>
        <v>0</v>
      </c>
      <c r="F87" s="854">
        <f t="shared" si="46"/>
        <v>0</v>
      </c>
      <c r="G87" s="854">
        <f t="shared" si="46"/>
        <v>0</v>
      </c>
      <c r="H87" s="854">
        <f t="shared" si="46"/>
        <v>0</v>
      </c>
      <c r="I87" s="854">
        <f t="shared" si="46"/>
        <v>0</v>
      </c>
      <c r="J87" s="854">
        <f t="shared" si="46"/>
        <v>0</v>
      </c>
      <c r="K87" s="854">
        <f t="shared" si="46"/>
        <v>0</v>
      </c>
      <c r="L87" s="854">
        <f t="shared" si="46"/>
        <v>0</v>
      </c>
      <c r="M87" s="854">
        <f t="shared" si="46"/>
        <v>0</v>
      </c>
      <c r="N87" s="854">
        <f t="shared" si="46"/>
        <v>0</v>
      </c>
      <c r="O87" s="32"/>
      <c r="P87" s="32"/>
      <c r="Q87" s="135">
        <v>0</v>
      </c>
      <c r="R87" s="135">
        <v>-1</v>
      </c>
      <c r="S87" s="135"/>
      <c r="T87" s="135"/>
      <c r="U87" s="135"/>
    </row>
    <row r="88" spans="1:21">
      <c r="A88" s="5"/>
      <c r="B88" s="32"/>
      <c r="C88" s="137"/>
      <c r="D88" s="846"/>
      <c r="E88" s="854">
        <f t="shared" ref="E88:N88" si="47">IF(E79,INDEX($Q88:$U88,E80+1),0)</f>
        <v>0</v>
      </c>
      <c r="F88" s="854">
        <f t="shared" si="47"/>
        <v>0</v>
      </c>
      <c r="G88" s="854">
        <f t="shared" si="47"/>
        <v>0</v>
      </c>
      <c r="H88" s="854">
        <f t="shared" si="47"/>
        <v>0</v>
      </c>
      <c r="I88" s="854">
        <f t="shared" si="47"/>
        <v>0</v>
      </c>
      <c r="J88" s="854">
        <f t="shared" si="47"/>
        <v>0</v>
      </c>
      <c r="K88" s="854">
        <f t="shared" si="47"/>
        <v>0</v>
      </c>
      <c r="L88" s="854">
        <f t="shared" si="47"/>
        <v>0</v>
      </c>
      <c r="M88" s="854">
        <f t="shared" si="47"/>
        <v>0</v>
      </c>
      <c r="N88" s="854">
        <f t="shared" si="47"/>
        <v>0</v>
      </c>
      <c r="O88" s="32"/>
      <c r="P88" s="32"/>
      <c r="Q88" s="135">
        <v>0</v>
      </c>
      <c r="R88" s="135"/>
      <c r="S88" s="135"/>
      <c r="T88" s="135"/>
      <c r="U88" s="135"/>
    </row>
    <row r="89" spans="1:21">
      <c r="A89" s="5"/>
      <c r="B89" s="32"/>
      <c r="C89" s="137"/>
      <c r="D89" s="846"/>
      <c r="E89" s="854">
        <f t="shared" ref="E89:N89" si="48">IF(E79,INDEX($Q89:$U89,E80+1),0)</f>
        <v>0</v>
      </c>
      <c r="F89" s="854">
        <f t="shared" si="48"/>
        <v>0</v>
      </c>
      <c r="G89" s="854">
        <f t="shared" si="48"/>
        <v>0</v>
      </c>
      <c r="H89" s="854">
        <f t="shared" si="48"/>
        <v>0</v>
      </c>
      <c r="I89" s="854">
        <f t="shared" si="48"/>
        <v>0</v>
      </c>
      <c r="J89" s="854">
        <f t="shared" si="48"/>
        <v>0</v>
      </c>
      <c r="K89" s="854">
        <f t="shared" si="48"/>
        <v>0</v>
      </c>
      <c r="L89" s="854">
        <f t="shared" si="48"/>
        <v>0</v>
      </c>
      <c r="M89" s="854">
        <f t="shared" si="48"/>
        <v>0</v>
      </c>
      <c r="N89" s="854">
        <f t="shared" si="48"/>
        <v>0</v>
      </c>
      <c r="O89" s="32"/>
      <c r="P89" s="32"/>
      <c r="Q89" s="135">
        <v>0</v>
      </c>
      <c r="R89" s="135"/>
      <c r="S89" s="135"/>
      <c r="T89" s="135"/>
      <c r="U89" s="135"/>
    </row>
    <row r="90" spans="1:21">
      <c r="A90" s="5"/>
      <c r="B90" s="32"/>
      <c r="C90" s="137"/>
      <c r="D90" s="846"/>
      <c r="E90" s="854">
        <f t="shared" ref="E90:N90" si="49">IF(E79,INDEX($Q90:$U90,E80+1),0)</f>
        <v>0</v>
      </c>
      <c r="F90" s="854">
        <f t="shared" si="49"/>
        <v>0</v>
      </c>
      <c r="G90" s="854">
        <f t="shared" si="49"/>
        <v>0</v>
      </c>
      <c r="H90" s="854">
        <f t="shared" si="49"/>
        <v>0</v>
      </c>
      <c r="I90" s="854">
        <f t="shared" si="49"/>
        <v>0</v>
      </c>
      <c r="J90" s="854">
        <f t="shared" si="49"/>
        <v>0</v>
      </c>
      <c r="K90" s="854">
        <f t="shared" si="49"/>
        <v>0</v>
      </c>
      <c r="L90" s="854">
        <f t="shared" si="49"/>
        <v>0</v>
      </c>
      <c r="M90" s="854">
        <f t="shared" si="49"/>
        <v>0</v>
      </c>
      <c r="N90" s="854">
        <f t="shared" si="49"/>
        <v>0</v>
      </c>
      <c r="O90" s="32"/>
      <c r="P90" s="32"/>
      <c r="Q90" s="135">
        <v>0</v>
      </c>
      <c r="R90" s="139"/>
      <c r="S90" s="135"/>
      <c r="T90" s="135"/>
      <c r="U90" s="135"/>
    </row>
    <row r="91" spans="1:21">
      <c r="A91" s="19"/>
    </row>
    <row r="92" spans="1:21">
      <c r="A92" s="135" t="s">
        <v>3235</v>
      </c>
      <c r="B92" s="848"/>
      <c r="C92" s="31" t="s">
        <v>2425</v>
      </c>
      <c r="D92" s="31"/>
      <c r="E92" s="853" t="b">
        <f t="shared" ref="E92:N92" si="50">VLOOKUP($A92,WobblerCalcTableLaunched,adj_IndexTeam+1,FALSE)</f>
        <v>0</v>
      </c>
      <c r="F92" s="853" t="b">
        <f t="shared" si="50"/>
        <v>0</v>
      </c>
      <c r="G92" s="853" t="b">
        <f t="shared" si="50"/>
        <v>0</v>
      </c>
      <c r="H92" s="853" t="b">
        <f t="shared" si="50"/>
        <v>0</v>
      </c>
      <c r="I92" s="853" t="b">
        <f t="shared" si="50"/>
        <v>0</v>
      </c>
      <c r="J92" s="853" t="b">
        <f t="shared" si="50"/>
        <v>0</v>
      </c>
      <c r="K92" s="853" t="b">
        <f t="shared" si="50"/>
        <v>0</v>
      </c>
      <c r="L92" s="853" t="b">
        <f t="shared" si="50"/>
        <v>0</v>
      </c>
      <c r="M92" s="853" t="b">
        <f t="shared" si="50"/>
        <v>0</v>
      </c>
      <c r="N92" s="853" t="b">
        <f t="shared" si="50"/>
        <v>0</v>
      </c>
      <c r="O92" s="847">
        <f>SUMIF(C94:C103,adj_FTECode,R94:R103)</f>
        <v>0</v>
      </c>
      <c r="P92" s="847">
        <f>SUMIF(C94:C103,adj_CostCode,R94:R103)</f>
        <v>0</v>
      </c>
      <c r="Q92" s="31"/>
      <c r="R92" s="31"/>
      <c r="S92" s="31"/>
      <c r="T92" s="31"/>
      <c r="U92" s="31"/>
    </row>
    <row r="93" spans="1:21">
      <c r="A93" s="5"/>
      <c r="B93" s="32"/>
      <c r="C93" s="32" t="s">
        <v>2424</v>
      </c>
      <c r="D93" s="32"/>
      <c r="E93" s="853">
        <f t="shared" ref="E93:N93" si="51">VLOOKUP($A92,WobblerCalcTableRoundsIntoLaunch,adj_IndexTeam+1,FALSE)</f>
        <v>0</v>
      </c>
      <c r="F93" s="853">
        <f t="shared" si="51"/>
        <v>0</v>
      </c>
      <c r="G93" s="853">
        <f t="shared" si="51"/>
        <v>0</v>
      </c>
      <c r="H93" s="853">
        <f t="shared" si="51"/>
        <v>0</v>
      </c>
      <c r="I93" s="853">
        <f t="shared" si="51"/>
        <v>0</v>
      </c>
      <c r="J93" s="853">
        <f t="shared" si="51"/>
        <v>0</v>
      </c>
      <c r="K93" s="853">
        <f t="shared" si="51"/>
        <v>0</v>
      </c>
      <c r="L93" s="853">
        <f t="shared" si="51"/>
        <v>0</v>
      </c>
      <c r="M93" s="853">
        <f t="shared" si="51"/>
        <v>0</v>
      </c>
      <c r="N93" s="853">
        <f t="shared" si="51"/>
        <v>0</v>
      </c>
      <c r="O93" s="32"/>
      <c r="P93" s="32"/>
      <c r="Q93" s="32"/>
      <c r="R93" s="32"/>
      <c r="S93" s="32"/>
      <c r="T93" s="32"/>
      <c r="U93" s="32"/>
    </row>
    <row r="94" spans="1:21">
      <c r="A94" s="5"/>
      <c r="B94" s="32"/>
      <c r="C94" s="137" t="s">
        <v>987</v>
      </c>
      <c r="D94" s="846" t="str">
        <f>IFERROR(IF(C94="","",VLOOKUP(C94,param!$A:$B,2,FALSE)),"Param Not Recognised")</f>
        <v>FTEs</v>
      </c>
      <c r="E94" s="854">
        <f t="shared" ref="E94:N94" si="52">IF(E92,INDEX($Q94:$U94,E93+1),0)</f>
        <v>0</v>
      </c>
      <c r="F94" s="854">
        <f t="shared" si="52"/>
        <v>0</v>
      </c>
      <c r="G94" s="854">
        <f t="shared" si="52"/>
        <v>0</v>
      </c>
      <c r="H94" s="854">
        <f t="shared" si="52"/>
        <v>0</v>
      </c>
      <c r="I94" s="854">
        <f t="shared" si="52"/>
        <v>0</v>
      </c>
      <c r="J94" s="854">
        <f t="shared" si="52"/>
        <v>0</v>
      </c>
      <c r="K94" s="854">
        <f t="shared" si="52"/>
        <v>0</v>
      </c>
      <c r="L94" s="854">
        <f t="shared" si="52"/>
        <v>0</v>
      </c>
      <c r="M94" s="854">
        <f t="shared" si="52"/>
        <v>0</v>
      </c>
      <c r="N94" s="854">
        <f t="shared" si="52"/>
        <v>0</v>
      </c>
      <c r="O94" s="32"/>
      <c r="P94" s="32"/>
      <c r="Q94" s="135">
        <v>0</v>
      </c>
      <c r="R94" s="135">
        <v>45</v>
      </c>
      <c r="S94" s="135"/>
      <c r="T94" s="135"/>
      <c r="U94" s="135"/>
    </row>
    <row r="95" spans="1:21">
      <c r="A95" s="5"/>
      <c r="B95" s="32"/>
      <c r="C95" s="137" t="s">
        <v>988</v>
      </c>
      <c r="D95" s="846" t="str">
        <f>IFERROR(IF(C95="","",VLOOKUP(C95,param!$A:$B,2,FALSE)),"Param Not Recognised")</f>
        <v>Costs</v>
      </c>
      <c r="E95" s="854">
        <f t="shared" ref="E95:N95" si="53">IF(E92,INDEX($Q95:$U95,E93+1),0)</f>
        <v>0</v>
      </c>
      <c r="F95" s="854">
        <f t="shared" si="53"/>
        <v>0</v>
      </c>
      <c r="G95" s="854">
        <f t="shared" si="53"/>
        <v>0</v>
      </c>
      <c r="H95" s="854">
        <f t="shared" si="53"/>
        <v>0</v>
      </c>
      <c r="I95" s="854">
        <f t="shared" si="53"/>
        <v>0</v>
      </c>
      <c r="J95" s="854">
        <f t="shared" si="53"/>
        <v>0</v>
      </c>
      <c r="K95" s="854">
        <f t="shared" si="53"/>
        <v>0</v>
      </c>
      <c r="L95" s="854">
        <f t="shared" si="53"/>
        <v>0</v>
      </c>
      <c r="M95" s="854">
        <f t="shared" si="53"/>
        <v>0</v>
      </c>
      <c r="N95" s="854">
        <f t="shared" si="53"/>
        <v>0</v>
      </c>
      <c r="O95" s="32"/>
      <c r="P95" s="32"/>
      <c r="Q95" s="135">
        <v>0</v>
      </c>
      <c r="R95" s="487">
        <v>2000000</v>
      </c>
      <c r="S95" s="135"/>
      <c r="T95" s="135"/>
      <c r="U95" s="135"/>
    </row>
    <row r="96" spans="1:21">
      <c r="A96" s="5"/>
      <c r="B96" s="32"/>
      <c r="C96" s="137" t="s">
        <v>989</v>
      </c>
      <c r="D96" s="846" t="str">
        <f>IFERROR(IF(C96="","",VLOOKUP(C96,param!$A:$B,2,FALSE)),"Param Not Recognised")</f>
        <v>CP Advocacy</v>
      </c>
      <c r="E96" s="854">
        <f t="shared" ref="E96:N96" si="54">IF(E92,INDEX($Q96:$U96,E93+1),0)</f>
        <v>0</v>
      </c>
      <c r="F96" s="854">
        <f t="shared" si="54"/>
        <v>0</v>
      </c>
      <c r="G96" s="854">
        <f t="shared" si="54"/>
        <v>0</v>
      </c>
      <c r="H96" s="854">
        <f t="shared" si="54"/>
        <v>0</v>
      </c>
      <c r="I96" s="854">
        <f t="shared" si="54"/>
        <v>0</v>
      </c>
      <c r="J96" s="854">
        <f t="shared" si="54"/>
        <v>0</v>
      </c>
      <c r="K96" s="854">
        <f t="shared" si="54"/>
        <v>0</v>
      </c>
      <c r="L96" s="854">
        <f t="shared" si="54"/>
        <v>0</v>
      </c>
      <c r="M96" s="854">
        <f t="shared" si="54"/>
        <v>0</v>
      </c>
      <c r="N96" s="854">
        <f t="shared" si="54"/>
        <v>0</v>
      </c>
      <c r="O96" s="32"/>
      <c r="P96" s="32"/>
      <c r="Q96" s="135">
        <v>0</v>
      </c>
      <c r="R96" s="135">
        <v>1.5</v>
      </c>
      <c r="S96" s="135"/>
      <c r="T96" s="135"/>
      <c r="U96" s="135"/>
    </row>
    <row r="97" spans="1:21">
      <c r="A97" s="5"/>
      <c r="B97" s="32"/>
      <c r="C97" s="137" t="s">
        <v>2442</v>
      </c>
      <c r="D97" s="846" t="str">
        <f>IFERROR(IF(C97="","",VLOOKUP(C97,param!$A:$B,2,FALSE)),"Param Not Recognised")</f>
        <v>Collaboration</v>
      </c>
      <c r="E97" s="854">
        <f t="shared" ref="E97:N97" si="55">IF(E92,INDEX($Q97:$U97,E93+1),0)</f>
        <v>0</v>
      </c>
      <c r="F97" s="854">
        <f t="shared" si="55"/>
        <v>0</v>
      </c>
      <c r="G97" s="854">
        <f t="shared" si="55"/>
        <v>0</v>
      </c>
      <c r="H97" s="854">
        <f t="shared" si="55"/>
        <v>0</v>
      </c>
      <c r="I97" s="854">
        <f t="shared" si="55"/>
        <v>0</v>
      </c>
      <c r="J97" s="854">
        <f t="shared" si="55"/>
        <v>0</v>
      </c>
      <c r="K97" s="854">
        <f t="shared" si="55"/>
        <v>0</v>
      </c>
      <c r="L97" s="854">
        <f t="shared" si="55"/>
        <v>0</v>
      </c>
      <c r="M97" s="854">
        <f t="shared" si="55"/>
        <v>0</v>
      </c>
      <c r="N97" s="854">
        <f t="shared" si="55"/>
        <v>0</v>
      </c>
      <c r="O97" s="32"/>
      <c r="P97" s="32"/>
      <c r="Q97" s="135">
        <v>0</v>
      </c>
      <c r="R97" s="135">
        <v>3</v>
      </c>
      <c r="S97" s="135"/>
      <c r="T97" s="135"/>
      <c r="U97" s="135"/>
    </row>
    <row r="98" spans="1:21">
      <c r="A98" s="5"/>
      <c r="B98" s="32"/>
      <c r="C98" s="137" t="s">
        <v>2440</v>
      </c>
      <c r="D98" s="846" t="str">
        <f>IFERROR(IF(C98="","",VLOOKUP(C98,param!$A:$B,2,FALSE)),"Param Not Recognised")</f>
        <v>Personal Computing Consumer Revenue</v>
      </c>
      <c r="E98" s="854">
        <f t="shared" ref="E98:N98" si="56">IF(E92,INDEX($Q98:$U98,E93+1),0)</f>
        <v>0</v>
      </c>
      <c r="F98" s="854">
        <f t="shared" si="56"/>
        <v>0</v>
      </c>
      <c r="G98" s="854">
        <f t="shared" si="56"/>
        <v>0</v>
      </c>
      <c r="H98" s="854">
        <f t="shared" si="56"/>
        <v>0</v>
      </c>
      <c r="I98" s="854">
        <f t="shared" si="56"/>
        <v>0</v>
      </c>
      <c r="J98" s="854">
        <f t="shared" si="56"/>
        <v>0</v>
      </c>
      <c r="K98" s="854">
        <f t="shared" si="56"/>
        <v>0</v>
      </c>
      <c r="L98" s="854">
        <f t="shared" si="56"/>
        <v>0</v>
      </c>
      <c r="M98" s="854">
        <f t="shared" si="56"/>
        <v>0</v>
      </c>
      <c r="N98" s="854">
        <f t="shared" si="56"/>
        <v>0</v>
      </c>
      <c r="O98" s="32"/>
      <c r="P98" s="32"/>
      <c r="Q98" s="135">
        <v>0</v>
      </c>
      <c r="R98" s="487">
        <v>5000000</v>
      </c>
      <c r="S98" s="135"/>
      <c r="T98" s="135"/>
      <c r="U98" s="135"/>
    </row>
    <row r="99" spans="1:21">
      <c r="A99" s="5"/>
      <c r="B99" s="32"/>
      <c r="C99" s="137" t="s">
        <v>2443</v>
      </c>
      <c r="D99" s="846" t="str">
        <f>IFERROR(IF(C99="","",VLOOKUP(C99,param!$A:$B,2,FALSE)),"Param Not Recognised")</f>
        <v>Personal Computing Consumer COGS</v>
      </c>
      <c r="E99" s="854">
        <f t="shared" ref="E99:H99" si="57">IF(E92,INDEX($Q99:$U99,E93+1),0)</f>
        <v>0</v>
      </c>
      <c r="F99" s="854">
        <f t="shared" si="57"/>
        <v>0</v>
      </c>
      <c r="G99" s="854">
        <f t="shared" si="57"/>
        <v>0</v>
      </c>
      <c r="H99" s="854">
        <f t="shared" si="57"/>
        <v>0</v>
      </c>
      <c r="I99" s="854">
        <f>IF(I92,INDEX($Q99:$U99,I93+1),0)</f>
        <v>0</v>
      </c>
      <c r="J99" s="854">
        <f t="shared" ref="J99:N99" si="58">IF(J92,INDEX($Q99:$U99,J93+1),0)</f>
        <v>0</v>
      </c>
      <c r="K99" s="854">
        <f t="shared" si="58"/>
        <v>0</v>
      </c>
      <c r="L99" s="854">
        <f t="shared" si="58"/>
        <v>0</v>
      </c>
      <c r="M99" s="854">
        <f t="shared" si="58"/>
        <v>0</v>
      </c>
      <c r="N99" s="854">
        <f t="shared" si="58"/>
        <v>0</v>
      </c>
      <c r="O99" s="32"/>
      <c r="P99" s="32"/>
      <c r="Q99" s="135">
        <v>0</v>
      </c>
      <c r="R99" s="487">
        <f>R98*0.45</f>
        <v>2250000</v>
      </c>
      <c r="S99" s="135"/>
      <c r="T99" s="135"/>
      <c r="U99" s="135"/>
    </row>
    <row r="100" spans="1:21">
      <c r="A100" s="5"/>
      <c r="B100" s="32"/>
      <c r="C100" s="137"/>
      <c r="D100" s="846"/>
      <c r="E100" s="854">
        <f t="shared" ref="E100:N100" si="59">IF(E92,INDEX($Q100:$U100,E93+1),0)</f>
        <v>0</v>
      </c>
      <c r="F100" s="854">
        <f t="shared" si="59"/>
        <v>0</v>
      </c>
      <c r="G100" s="854">
        <f t="shared" si="59"/>
        <v>0</v>
      </c>
      <c r="H100" s="854">
        <f t="shared" si="59"/>
        <v>0</v>
      </c>
      <c r="I100" s="854">
        <f t="shared" si="59"/>
        <v>0</v>
      </c>
      <c r="J100" s="854">
        <f t="shared" si="59"/>
        <v>0</v>
      </c>
      <c r="K100" s="854">
        <f t="shared" si="59"/>
        <v>0</v>
      </c>
      <c r="L100" s="854">
        <f t="shared" si="59"/>
        <v>0</v>
      </c>
      <c r="M100" s="854">
        <f t="shared" si="59"/>
        <v>0</v>
      </c>
      <c r="N100" s="854">
        <f t="shared" si="59"/>
        <v>0</v>
      </c>
      <c r="O100" s="32"/>
      <c r="P100" s="32"/>
      <c r="Q100" s="135">
        <v>0</v>
      </c>
      <c r="R100" s="135"/>
      <c r="S100" s="135"/>
      <c r="T100" s="135"/>
      <c r="U100" s="135"/>
    </row>
    <row r="101" spans="1:21">
      <c r="A101" s="5"/>
      <c r="B101" s="32"/>
      <c r="C101" s="137"/>
      <c r="D101" s="846"/>
      <c r="E101" s="854">
        <f t="shared" ref="E101:N101" si="60">IF(E92,INDEX($Q101:$U101,E93+1),0)</f>
        <v>0</v>
      </c>
      <c r="F101" s="854">
        <f t="shared" si="60"/>
        <v>0</v>
      </c>
      <c r="G101" s="854">
        <f t="shared" si="60"/>
        <v>0</v>
      </c>
      <c r="H101" s="854">
        <f t="shared" si="60"/>
        <v>0</v>
      </c>
      <c r="I101" s="854">
        <f t="shared" si="60"/>
        <v>0</v>
      </c>
      <c r="J101" s="854">
        <f t="shared" si="60"/>
        <v>0</v>
      </c>
      <c r="K101" s="854">
        <f t="shared" si="60"/>
        <v>0</v>
      </c>
      <c r="L101" s="854">
        <f t="shared" si="60"/>
        <v>0</v>
      </c>
      <c r="M101" s="854">
        <f t="shared" si="60"/>
        <v>0</v>
      </c>
      <c r="N101" s="854">
        <f t="shared" si="60"/>
        <v>0</v>
      </c>
      <c r="O101" s="32"/>
      <c r="P101" s="32"/>
      <c r="Q101" s="135">
        <v>0</v>
      </c>
      <c r="R101" s="135"/>
      <c r="S101" s="135"/>
      <c r="T101" s="135"/>
      <c r="U101" s="135"/>
    </row>
    <row r="102" spans="1:21">
      <c r="A102" s="5"/>
      <c r="B102" s="32"/>
      <c r="C102" s="137"/>
      <c r="D102" s="846"/>
      <c r="E102" s="854">
        <f t="shared" ref="E102:N102" si="61">IF(E92,INDEX($Q102:$U102,E93+1),0)</f>
        <v>0</v>
      </c>
      <c r="F102" s="854">
        <f t="shared" si="61"/>
        <v>0</v>
      </c>
      <c r="G102" s="854">
        <f t="shared" si="61"/>
        <v>0</v>
      </c>
      <c r="H102" s="854">
        <f t="shared" si="61"/>
        <v>0</v>
      </c>
      <c r="I102" s="854">
        <f t="shared" si="61"/>
        <v>0</v>
      </c>
      <c r="J102" s="854">
        <f t="shared" si="61"/>
        <v>0</v>
      </c>
      <c r="K102" s="854">
        <f t="shared" si="61"/>
        <v>0</v>
      </c>
      <c r="L102" s="854">
        <f t="shared" si="61"/>
        <v>0</v>
      </c>
      <c r="M102" s="854">
        <f t="shared" si="61"/>
        <v>0</v>
      </c>
      <c r="N102" s="854">
        <f t="shared" si="61"/>
        <v>0</v>
      </c>
      <c r="O102" s="32"/>
      <c r="P102" s="32"/>
      <c r="Q102" s="135">
        <v>0</v>
      </c>
      <c r="R102" s="135"/>
      <c r="S102" s="135"/>
      <c r="T102" s="135"/>
      <c r="U102" s="135"/>
    </row>
    <row r="103" spans="1:21">
      <c r="A103" s="5"/>
      <c r="B103" s="32"/>
      <c r="C103" s="137"/>
      <c r="D103" s="846"/>
      <c r="E103" s="854">
        <f t="shared" ref="E103:N103" si="62">IF(E92,INDEX($Q103:$U103,E93+1),0)</f>
        <v>0</v>
      </c>
      <c r="F103" s="854">
        <f t="shared" si="62"/>
        <v>0</v>
      </c>
      <c r="G103" s="854">
        <f t="shared" si="62"/>
        <v>0</v>
      </c>
      <c r="H103" s="854">
        <f t="shared" si="62"/>
        <v>0</v>
      </c>
      <c r="I103" s="854">
        <f t="shared" si="62"/>
        <v>0</v>
      </c>
      <c r="J103" s="854">
        <f t="shared" si="62"/>
        <v>0</v>
      </c>
      <c r="K103" s="854">
        <f t="shared" si="62"/>
        <v>0</v>
      </c>
      <c r="L103" s="854">
        <f t="shared" si="62"/>
        <v>0</v>
      </c>
      <c r="M103" s="854">
        <f t="shared" si="62"/>
        <v>0</v>
      </c>
      <c r="N103" s="854">
        <f t="shared" si="62"/>
        <v>0</v>
      </c>
      <c r="O103" s="32"/>
      <c r="P103" s="32"/>
      <c r="Q103" s="135">
        <v>0</v>
      </c>
      <c r="R103" s="139"/>
      <c r="S103" s="135"/>
      <c r="T103" s="135"/>
      <c r="U103" s="135"/>
    </row>
    <row r="105" spans="1:21">
      <c r="A105" s="135" t="s">
        <v>3049</v>
      </c>
      <c r="B105" s="848"/>
      <c r="C105" s="31" t="s">
        <v>2425</v>
      </c>
      <c r="D105" s="31"/>
      <c r="E105" s="853" t="b">
        <f t="shared" ref="E105:N105" si="63">VLOOKUP($A105,WobblerCalcTableLaunched,adj_IndexTeam+1,FALSE)</f>
        <v>0</v>
      </c>
      <c r="F105" s="853" t="b">
        <f t="shared" si="63"/>
        <v>0</v>
      </c>
      <c r="G105" s="853" t="b">
        <f t="shared" si="63"/>
        <v>0</v>
      </c>
      <c r="H105" s="853" t="b">
        <f t="shared" si="63"/>
        <v>0</v>
      </c>
      <c r="I105" s="853" t="b">
        <f t="shared" si="63"/>
        <v>0</v>
      </c>
      <c r="J105" s="853" t="b">
        <f t="shared" si="63"/>
        <v>0</v>
      </c>
      <c r="K105" s="853" t="b">
        <f t="shared" si="63"/>
        <v>0</v>
      </c>
      <c r="L105" s="853" t="b">
        <f t="shared" si="63"/>
        <v>0</v>
      </c>
      <c r="M105" s="853" t="b">
        <f t="shared" si="63"/>
        <v>0</v>
      </c>
      <c r="N105" s="853" t="b">
        <f t="shared" si="63"/>
        <v>0</v>
      </c>
      <c r="O105" s="847">
        <f>SUMIF(C107:C116,adj_FTECode,R107:R116)</f>
        <v>0</v>
      </c>
      <c r="P105" s="847">
        <f>SUMIF(C107:C116,adj_CostCode,R107:R116)</f>
        <v>0</v>
      </c>
      <c r="Q105" s="31"/>
      <c r="R105" s="31"/>
      <c r="S105" s="31"/>
      <c r="T105" s="31"/>
      <c r="U105" s="31"/>
    </row>
    <row r="106" spans="1:21">
      <c r="A106" s="5"/>
      <c r="B106" s="32"/>
      <c r="C106" s="32" t="s">
        <v>2424</v>
      </c>
      <c r="D106" s="32"/>
      <c r="E106" s="853">
        <f t="shared" ref="E106:N106" si="64">VLOOKUP($A105,WobblerCalcTableRoundsIntoLaunch,adj_IndexTeam+1,FALSE)</f>
        <v>0</v>
      </c>
      <c r="F106" s="853">
        <f t="shared" si="64"/>
        <v>0</v>
      </c>
      <c r="G106" s="853">
        <f t="shared" si="64"/>
        <v>0</v>
      </c>
      <c r="H106" s="853">
        <f t="shared" si="64"/>
        <v>0</v>
      </c>
      <c r="I106" s="853">
        <f t="shared" si="64"/>
        <v>0</v>
      </c>
      <c r="J106" s="853">
        <f t="shared" si="64"/>
        <v>0</v>
      </c>
      <c r="K106" s="853">
        <f t="shared" si="64"/>
        <v>0</v>
      </c>
      <c r="L106" s="853">
        <f t="shared" si="64"/>
        <v>0</v>
      </c>
      <c r="M106" s="853">
        <f t="shared" si="64"/>
        <v>0</v>
      </c>
      <c r="N106" s="853">
        <f t="shared" si="64"/>
        <v>0</v>
      </c>
      <c r="O106" s="32"/>
      <c r="P106" s="32"/>
      <c r="Q106" s="32"/>
      <c r="R106" s="32"/>
      <c r="S106" s="32"/>
      <c r="T106" s="32"/>
      <c r="U106" s="32"/>
    </row>
    <row r="107" spans="1:21">
      <c r="A107" s="5"/>
      <c r="B107" s="32"/>
      <c r="C107" s="137" t="s">
        <v>3035</v>
      </c>
      <c r="D107" s="846"/>
      <c r="E107" s="854">
        <f t="shared" ref="E107:N107" si="65">IF(E105,INDEX($Q107:$U107,E106+1),0)</f>
        <v>0</v>
      </c>
      <c r="F107" s="854">
        <f t="shared" si="65"/>
        <v>0</v>
      </c>
      <c r="G107" s="854">
        <f t="shared" si="65"/>
        <v>0</v>
      </c>
      <c r="H107" s="854">
        <f t="shared" si="65"/>
        <v>0</v>
      </c>
      <c r="I107" s="854">
        <f t="shared" si="65"/>
        <v>0</v>
      </c>
      <c r="J107" s="854">
        <f t="shared" si="65"/>
        <v>0</v>
      </c>
      <c r="K107" s="854">
        <f t="shared" si="65"/>
        <v>0</v>
      </c>
      <c r="L107" s="854">
        <f t="shared" si="65"/>
        <v>0</v>
      </c>
      <c r="M107" s="854">
        <f t="shared" si="65"/>
        <v>0</v>
      </c>
      <c r="N107" s="854">
        <f t="shared" si="65"/>
        <v>0</v>
      </c>
      <c r="O107" s="32"/>
      <c r="P107" s="32"/>
      <c r="Q107" s="135">
        <v>0</v>
      </c>
      <c r="R107" s="135"/>
      <c r="S107" s="135"/>
      <c r="T107" s="135"/>
      <c r="U107" s="135"/>
    </row>
    <row r="108" spans="1:21">
      <c r="A108" s="5"/>
      <c r="B108" s="32"/>
      <c r="C108" s="137"/>
      <c r="D108" s="846"/>
      <c r="E108" s="854">
        <f t="shared" ref="E108:N108" si="66">IF(E105,INDEX($Q108:$U108,E106+1),0)</f>
        <v>0</v>
      </c>
      <c r="F108" s="854">
        <f t="shared" si="66"/>
        <v>0</v>
      </c>
      <c r="G108" s="854">
        <f t="shared" si="66"/>
        <v>0</v>
      </c>
      <c r="H108" s="854">
        <f t="shared" si="66"/>
        <v>0</v>
      </c>
      <c r="I108" s="854">
        <f t="shared" si="66"/>
        <v>0</v>
      </c>
      <c r="J108" s="854">
        <f t="shared" si="66"/>
        <v>0</v>
      </c>
      <c r="K108" s="854">
        <f t="shared" si="66"/>
        <v>0</v>
      </c>
      <c r="L108" s="854">
        <f t="shared" si="66"/>
        <v>0</v>
      </c>
      <c r="M108" s="854">
        <f t="shared" si="66"/>
        <v>0</v>
      </c>
      <c r="N108" s="854">
        <f t="shared" si="66"/>
        <v>0</v>
      </c>
      <c r="O108" s="32"/>
      <c r="P108" s="32"/>
      <c r="Q108" s="135">
        <v>0</v>
      </c>
      <c r="R108" s="487"/>
      <c r="S108" s="135"/>
      <c r="T108" s="135"/>
      <c r="U108" s="135"/>
    </row>
    <row r="109" spans="1:21">
      <c r="A109" s="5"/>
      <c r="B109" s="32"/>
      <c r="C109" s="137"/>
      <c r="D109" s="846"/>
      <c r="E109" s="854">
        <f t="shared" ref="E109:N109" si="67">IF(E105,INDEX($Q109:$U109,E106+1),0)</f>
        <v>0</v>
      </c>
      <c r="F109" s="854">
        <f t="shared" si="67"/>
        <v>0</v>
      </c>
      <c r="G109" s="854">
        <f t="shared" si="67"/>
        <v>0</v>
      </c>
      <c r="H109" s="854">
        <f t="shared" si="67"/>
        <v>0</v>
      </c>
      <c r="I109" s="854">
        <f t="shared" si="67"/>
        <v>0</v>
      </c>
      <c r="J109" s="854">
        <f t="shared" si="67"/>
        <v>0</v>
      </c>
      <c r="K109" s="854">
        <f t="shared" si="67"/>
        <v>0</v>
      </c>
      <c r="L109" s="854">
        <f t="shared" si="67"/>
        <v>0</v>
      </c>
      <c r="M109" s="854">
        <f t="shared" si="67"/>
        <v>0</v>
      </c>
      <c r="N109" s="854">
        <f t="shared" si="67"/>
        <v>0</v>
      </c>
      <c r="O109" s="32"/>
      <c r="P109" s="32"/>
      <c r="Q109" s="135">
        <v>0</v>
      </c>
      <c r="R109" s="135"/>
      <c r="S109" s="135"/>
      <c r="T109" s="135"/>
      <c r="U109" s="135"/>
    </row>
    <row r="110" spans="1:21">
      <c r="A110" s="5"/>
      <c r="B110" s="32"/>
      <c r="C110" s="137"/>
      <c r="D110" s="846"/>
      <c r="E110" s="854">
        <f t="shared" ref="E110:N110" si="68">IF(E105,INDEX($Q110:$U110,E106+1),0)</f>
        <v>0</v>
      </c>
      <c r="F110" s="854">
        <f t="shared" si="68"/>
        <v>0</v>
      </c>
      <c r="G110" s="854">
        <f t="shared" si="68"/>
        <v>0</v>
      </c>
      <c r="H110" s="854">
        <f t="shared" si="68"/>
        <v>0</v>
      </c>
      <c r="I110" s="854">
        <f t="shared" si="68"/>
        <v>0</v>
      </c>
      <c r="J110" s="854">
        <f t="shared" si="68"/>
        <v>0</v>
      </c>
      <c r="K110" s="854">
        <f t="shared" si="68"/>
        <v>0</v>
      </c>
      <c r="L110" s="854">
        <f t="shared" si="68"/>
        <v>0</v>
      </c>
      <c r="M110" s="854">
        <f t="shared" si="68"/>
        <v>0</v>
      </c>
      <c r="N110" s="854">
        <f t="shared" si="68"/>
        <v>0</v>
      </c>
      <c r="O110" s="32"/>
      <c r="P110" s="32"/>
      <c r="Q110" s="135">
        <v>0</v>
      </c>
      <c r="R110" s="135"/>
      <c r="S110" s="135"/>
      <c r="T110" s="135"/>
      <c r="U110" s="135"/>
    </row>
    <row r="111" spans="1:21">
      <c r="A111" s="5"/>
      <c r="B111" s="32"/>
      <c r="C111" s="137"/>
      <c r="D111" s="846"/>
      <c r="E111" s="854">
        <f t="shared" ref="E111:N111" si="69">IF(E105,INDEX($Q111:$U111,E106+1),0)</f>
        <v>0</v>
      </c>
      <c r="F111" s="854">
        <f t="shared" si="69"/>
        <v>0</v>
      </c>
      <c r="G111" s="854">
        <f t="shared" si="69"/>
        <v>0</v>
      </c>
      <c r="H111" s="854">
        <f t="shared" si="69"/>
        <v>0</v>
      </c>
      <c r="I111" s="854">
        <f t="shared" si="69"/>
        <v>0</v>
      </c>
      <c r="J111" s="854">
        <f t="shared" si="69"/>
        <v>0</v>
      </c>
      <c r="K111" s="854">
        <f t="shared" si="69"/>
        <v>0</v>
      </c>
      <c r="L111" s="854">
        <f t="shared" si="69"/>
        <v>0</v>
      </c>
      <c r="M111" s="854">
        <f t="shared" si="69"/>
        <v>0</v>
      </c>
      <c r="N111" s="854">
        <f t="shared" si="69"/>
        <v>0</v>
      </c>
      <c r="O111" s="32"/>
      <c r="P111" s="32"/>
      <c r="Q111" s="135">
        <v>0</v>
      </c>
      <c r="R111" s="135"/>
      <c r="S111" s="135"/>
      <c r="T111" s="135"/>
      <c r="U111" s="135"/>
    </row>
    <row r="112" spans="1:21">
      <c r="A112" s="5"/>
      <c r="B112" s="32"/>
      <c r="C112" s="137"/>
      <c r="D112" s="846"/>
      <c r="E112" s="854">
        <f t="shared" ref="E112:N112" si="70">IF(E105,INDEX($Q112:$U112,E106+1),0)</f>
        <v>0</v>
      </c>
      <c r="F112" s="854">
        <f t="shared" si="70"/>
        <v>0</v>
      </c>
      <c r="G112" s="854">
        <f t="shared" si="70"/>
        <v>0</v>
      </c>
      <c r="H112" s="854">
        <f t="shared" si="70"/>
        <v>0</v>
      </c>
      <c r="I112" s="854">
        <f t="shared" si="70"/>
        <v>0</v>
      </c>
      <c r="J112" s="854">
        <f t="shared" si="70"/>
        <v>0</v>
      </c>
      <c r="K112" s="854">
        <f t="shared" si="70"/>
        <v>0</v>
      </c>
      <c r="L112" s="854">
        <f t="shared" si="70"/>
        <v>0</v>
      </c>
      <c r="M112" s="854">
        <f t="shared" si="70"/>
        <v>0</v>
      </c>
      <c r="N112" s="854">
        <f t="shared" si="70"/>
        <v>0</v>
      </c>
      <c r="O112" s="32"/>
      <c r="P112" s="32"/>
      <c r="Q112" s="135">
        <v>0</v>
      </c>
      <c r="R112" s="135"/>
      <c r="S112" s="135"/>
      <c r="T112" s="135"/>
      <c r="U112" s="135"/>
    </row>
    <row r="113" spans="1:21">
      <c r="A113" s="5"/>
      <c r="B113" s="32"/>
      <c r="C113" s="137"/>
      <c r="D113" s="846"/>
      <c r="E113" s="854">
        <f t="shared" ref="E113:N113" si="71">IF(E105,INDEX($Q113:$U113,E106+1),0)</f>
        <v>0</v>
      </c>
      <c r="F113" s="854">
        <f t="shared" si="71"/>
        <v>0</v>
      </c>
      <c r="G113" s="854">
        <f t="shared" si="71"/>
        <v>0</v>
      </c>
      <c r="H113" s="854">
        <f t="shared" si="71"/>
        <v>0</v>
      </c>
      <c r="I113" s="854">
        <f t="shared" si="71"/>
        <v>0</v>
      </c>
      <c r="J113" s="854">
        <f t="shared" si="71"/>
        <v>0</v>
      </c>
      <c r="K113" s="854">
        <f t="shared" si="71"/>
        <v>0</v>
      </c>
      <c r="L113" s="854">
        <f t="shared" si="71"/>
        <v>0</v>
      </c>
      <c r="M113" s="854">
        <f t="shared" si="71"/>
        <v>0</v>
      </c>
      <c r="N113" s="854">
        <f t="shared" si="71"/>
        <v>0</v>
      </c>
      <c r="O113" s="32"/>
      <c r="P113" s="32"/>
      <c r="Q113" s="135">
        <v>0</v>
      </c>
      <c r="R113" s="135"/>
      <c r="S113" s="135"/>
      <c r="T113" s="135"/>
      <c r="U113" s="135"/>
    </row>
    <row r="114" spans="1:21">
      <c r="A114" s="5"/>
      <c r="B114" s="32"/>
      <c r="C114" s="137"/>
      <c r="D114" s="846"/>
      <c r="E114" s="854">
        <f t="shared" ref="E114:N114" si="72">IF(E105,INDEX($Q114:$U114,E106+1),0)</f>
        <v>0</v>
      </c>
      <c r="F114" s="854">
        <f t="shared" si="72"/>
        <v>0</v>
      </c>
      <c r="G114" s="854">
        <f t="shared" si="72"/>
        <v>0</v>
      </c>
      <c r="H114" s="854">
        <f t="shared" si="72"/>
        <v>0</v>
      </c>
      <c r="I114" s="854">
        <f t="shared" si="72"/>
        <v>0</v>
      </c>
      <c r="J114" s="854">
        <f t="shared" si="72"/>
        <v>0</v>
      </c>
      <c r="K114" s="854">
        <f t="shared" si="72"/>
        <v>0</v>
      </c>
      <c r="L114" s="854">
        <f t="shared" si="72"/>
        <v>0</v>
      </c>
      <c r="M114" s="854">
        <f t="shared" si="72"/>
        <v>0</v>
      </c>
      <c r="N114" s="854">
        <f t="shared" si="72"/>
        <v>0</v>
      </c>
      <c r="O114" s="32"/>
      <c r="P114" s="32"/>
      <c r="Q114" s="135">
        <v>0</v>
      </c>
      <c r="R114" s="135"/>
      <c r="S114" s="135"/>
      <c r="T114" s="135"/>
      <c r="U114" s="135"/>
    </row>
    <row r="115" spans="1:21">
      <c r="A115" s="5"/>
      <c r="B115" s="32"/>
      <c r="C115" s="137"/>
      <c r="D115" s="846"/>
      <c r="E115" s="854">
        <f t="shared" ref="E115:N115" si="73">IF(E105,INDEX($Q115:$U115,E106+1),0)</f>
        <v>0</v>
      </c>
      <c r="F115" s="854">
        <f t="shared" si="73"/>
        <v>0</v>
      </c>
      <c r="G115" s="854">
        <f t="shared" si="73"/>
        <v>0</v>
      </c>
      <c r="H115" s="854">
        <f t="shared" si="73"/>
        <v>0</v>
      </c>
      <c r="I115" s="854">
        <f t="shared" si="73"/>
        <v>0</v>
      </c>
      <c r="J115" s="854">
        <f t="shared" si="73"/>
        <v>0</v>
      </c>
      <c r="K115" s="854">
        <f t="shared" si="73"/>
        <v>0</v>
      </c>
      <c r="L115" s="854">
        <f t="shared" si="73"/>
        <v>0</v>
      </c>
      <c r="M115" s="854">
        <f t="shared" si="73"/>
        <v>0</v>
      </c>
      <c r="N115" s="854">
        <f t="shared" si="73"/>
        <v>0</v>
      </c>
      <c r="O115" s="32"/>
      <c r="P115" s="32"/>
      <c r="Q115" s="135">
        <v>0</v>
      </c>
      <c r="R115" s="135"/>
      <c r="S115" s="135"/>
      <c r="T115" s="135"/>
      <c r="U115" s="135"/>
    </row>
    <row r="116" spans="1:21">
      <c r="A116" s="5"/>
      <c r="B116" s="32"/>
      <c r="C116" s="137"/>
      <c r="D116" s="846" t="str">
        <f>IFERROR(IF(C116="","",VLOOKUP(C116,param!$A:$B,2,FALSE)),"Param Not Recognised")</f>
        <v/>
      </c>
      <c r="E116" s="854">
        <f t="shared" ref="E116:N116" si="74">IF(E105,INDEX($Q116:$U116,E106+1),0)</f>
        <v>0</v>
      </c>
      <c r="F116" s="854">
        <f t="shared" si="74"/>
        <v>0</v>
      </c>
      <c r="G116" s="854">
        <f t="shared" si="74"/>
        <v>0</v>
      </c>
      <c r="H116" s="854">
        <f t="shared" si="74"/>
        <v>0</v>
      </c>
      <c r="I116" s="854">
        <f t="shared" si="74"/>
        <v>0</v>
      </c>
      <c r="J116" s="854">
        <f t="shared" si="74"/>
        <v>0</v>
      </c>
      <c r="K116" s="854">
        <f t="shared" si="74"/>
        <v>0</v>
      </c>
      <c r="L116" s="854">
        <f t="shared" si="74"/>
        <v>0</v>
      </c>
      <c r="M116" s="854">
        <f t="shared" si="74"/>
        <v>0</v>
      </c>
      <c r="N116" s="854">
        <f t="shared" si="74"/>
        <v>0</v>
      </c>
      <c r="O116" s="32"/>
      <c r="P116" s="32"/>
      <c r="Q116" s="135">
        <v>0</v>
      </c>
      <c r="R116" s="135"/>
      <c r="S116" s="135"/>
      <c r="T116" s="135"/>
      <c r="U116" s="135"/>
    </row>
    <row r="118" spans="1:21">
      <c r="A118" s="135" t="s">
        <v>3050</v>
      </c>
      <c r="B118" s="848"/>
      <c r="C118" s="31" t="s">
        <v>2425</v>
      </c>
      <c r="D118" s="31"/>
      <c r="E118" s="853" t="b">
        <f t="shared" ref="E118:N118" si="75">VLOOKUP($A118,WobblerCalcTableLaunched,adj_IndexTeam+1,FALSE)</f>
        <v>0</v>
      </c>
      <c r="F118" s="853" t="b">
        <f t="shared" si="75"/>
        <v>0</v>
      </c>
      <c r="G118" s="853" t="b">
        <f t="shared" si="75"/>
        <v>0</v>
      </c>
      <c r="H118" s="853" t="b">
        <f t="shared" si="75"/>
        <v>0</v>
      </c>
      <c r="I118" s="853" t="b">
        <f t="shared" si="75"/>
        <v>0</v>
      </c>
      <c r="J118" s="853" t="b">
        <f t="shared" si="75"/>
        <v>0</v>
      </c>
      <c r="K118" s="853" t="b">
        <f t="shared" si="75"/>
        <v>0</v>
      </c>
      <c r="L118" s="853" t="b">
        <f t="shared" si="75"/>
        <v>0</v>
      </c>
      <c r="M118" s="853" t="b">
        <f t="shared" si="75"/>
        <v>0</v>
      </c>
      <c r="N118" s="853" t="b">
        <f t="shared" si="75"/>
        <v>0</v>
      </c>
      <c r="O118" s="847">
        <f>SUMIF(C120:C129,adj_FTECode,R120:R129)</f>
        <v>0</v>
      </c>
      <c r="P118" s="847">
        <f>SUMIF(C120:C129,adj_CostCode,R120:R129)</f>
        <v>0</v>
      </c>
      <c r="Q118" s="31"/>
      <c r="R118" s="31"/>
      <c r="S118" s="31"/>
      <c r="T118" s="31"/>
      <c r="U118" s="31"/>
    </row>
    <row r="119" spans="1:21">
      <c r="A119" s="5"/>
      <c r="B119" s="32"/>
      <c r="C119" s="32" t="s">
        <v>2424</v>
      </c>
      <c r="D119" s="32"/>
      <c r="E119" s="853">
        <f t="shared" ref="E119:N119" si="76">VLOOKUP($A118,WobblerCalcTableRoundsIntoLaunch,adj_IndexTeam+1,FALSE)</f>
        <v>0</v>
      </c>
      <c r="F119" s="853">
        <f t="shared" si="76"/>
        <v>0</v>
      </c>
      <c r="G119" s="853">
        <f t="shared" si="76"/>
        <v>0</v>
      </c>
      <c r="H119" s="853">
        <f t="shared" si="76"/>
        <v>0</v>
      </c>
      <c r="I119" s="853">
        <f t="shared" si="76"/>
        <v>0</v>
      </c>
      <c r="J119" s="853">
        <f t="shared" si="76"/>
        <v>0</v>
      </c>
      <c r="K119" s="853">
        <f t="shared" si="76"/>
        <v>0</v>
      </c>
      <c r="L119" s="853">
        <f t="shared" si="76"/>
        <v>0</v>
      </c>
      <c r="M119" s="853">
        <f t="shared" si="76"/>
        <v>0</v>
      </c>
      <c r="N119" s="853">
        <f t="shared" si="76"/>
        <v>0</v>
      </c>
      <c r="O119" s="32"/>
      <c r="P119" s="32"/>
      <c r="Q119" s="32"/>
      <c r="R119" s="32"/>
      <c r="S119" s="32"/>
      <c r="T119" s="32"/>
      <c r="U119" s="32"/>
    </row>
    <row r="120" spans="1:21">
      <c r="A120" s="5"/>
      <c r="B120" s="32"/>
      <c r="C120" s="137" t="s">
        <v>2861</v>
      </c>
      <c r="D120" s="846" t="str">
        <f>IFERROR(IF(C120="","",VLOOKUP(C120,param!$A:$B,2,FALSE)),"Param Not Recognised")</f>
        <v>Intelligent Cloud Enterprise Revenue</v>
      </c>
      <c r="E120" s="854">
        <f t="shared" ref="E120:N120" si="77">IF(E118,INDEX($Q120:$U120,E119+1),0)</f>
        <v>0</v>
      </c>
      <c r="F120" s="854">
        <f t="shared" si="77"/>
        <v>0</v>
      </c>
      <c r="G120" s="854">
        <f t="shared" si="77"/>
        <v>0</v>
      </c>
      <c r="H120" s="854">
        <f t="shared" si="77"/>
        <v>0</v>
      </c>
      <c r="I120" s="854">
        <f t="shared" si="77"/>
        <v>0</v>
      </c>
      <c r="J120" s="854">
        <f t="shared" si="77"/>
        <v>0</v>
      </c>
      <c r="K120" s="854">
        <f t="shared" si="77"/>
        <v>0</v>
      </c>
      <c r="L120" s="854">
        <f t="shared" si="77"/>
        <v>0</v>
      </c>
      <c r="M120" s="854">
        <f t="shared" si="77"/>
        <v>0</v>
      </c>
      <c r="N120" s="854">
        <f t="shared" si="77"/>
        <v>0</v>
      </c>
      <c r="O120" s="32"/>
      <c r="P120" s="32"/>
      <c r="Q120" s="135">
        <v>0</v>
      </c>
      <c r="R120" s="487">
        <v>-4000000</v>
      </c>
      <c r="S120" s="135"/>
      <c r="T120" s="135"/>
      <c r="U120" s="135"/>
    </row>
    <row r="121" spans="1:21">
      <c r="A121" s="5"/>
      <c r="B121" s="32"/>
      <c r="C121" s="137"/>
      <c r="D121" s="846"/>
      <c r="E121" s="854">
        <f t="shared" ref="E121:N121" si="78">IF(E118,INDEX($Q121:$U121,E119+1),0)</f>
        <v>0</v>
      </c>
      <c r="F121" s="854">
        <f t="shared" si="78"/>
        <v>0</v>
      </c>
      <c r="G121" s="854">
        <f t="shared" si="78"/>
        <v>0</v>
      </c>
      <c r="H121" s="854">
        <f t="shared" si="78"/>
        <v>0</v>
      </c>
      <c r="I121" s="854">
        <f t="shared" si="78"/>
        <v>0</v>
      </c>
      <c r="J121" s="854">
        <f t="shared" si="78"/>
        <v>0</v>
      </c>
      <c r="K121" s="854">
        <f t="shared" si="78"/>
        <v>0</v>
      </c>
      <c r="L121" s="854">
        <f t="shared" si="78"/>
        <v>0</v>
      </c>
      <c r="M121" s="854">
        <f t="shared" si="78"/>
        <v>0</v>
      </c>
      <c r="N121" s="854">
        <f t="shared" si="78"/>
        <v>0</v>
      </c>
      <c r="O121" s="32"/>
      <c r="P121" s="32"/>
      <c r="Q121" s="135">
        <v>0</v>
      </c>
      <c r="R121" s="487"/>
      <c r="S121" s="135"/>
      <c r="T121" s="135"/>
      <c r="U121" s="135"/>
    </row>
    <row r="122" spans="1:21">
      <c r="A122" s="5"/>
      <c r="B122" s="32"/>
      <c r="C122" s="137"/>
      <c r="D122" s="846"/>
      <c r="E122" s="854">
        <f t="shared" ref="E122:N122" si="79">IF(E118,INDEX($Q122:$U122,E119+1),0)</f>
        <v>0</v>
      </c>
      <c r="F122" s="854">
        <f t="shared" si="79"/>
        <v>0</v>
      </c>
      <c r="G122" s="854">
        <f t="shared" si="79"/>
        <v>0</v>
      </c>
      <c r="H122" s="854">
        <f t="shared" si="79"/>
        <v>0</v>
      </c>
      <c r="I122" s="854">
        <f t="shared" si="79"/>
        <v>0</v>
      </c>
      <c r="J122" s="854">
        <f t="shared" si="79"/>
        <v>0</v>
      </c>
      <c r="K122" s="854">
        <f t="shared" si="79"/>
        <v>0</v>
      </c>
      <c r="L122" s="854">
        <f t="shared" si="79"/>
        <v>0</v>
      </c>
      <c r="M122" s="854">
        <f t="shared" si="79"/>
        <v>0</v>
      </c>
      <c r="N122" s="854">
        <f t="shared" si="79"/>
        <v>0</v>
      </c>
      <c r="O122" s="32"/>
      <c r="P122" s="32"/>
      <c r="Q122" s="135">
        <v>0</v>
      </c>
      <c r="R122" s="135"/>
      <c r="S122" s="135"/>
      <c r="T122" s="135"/>
      <c r="U122" s="135"/>
    </row>
    <row r="123" spans="1:21">
      <c r="A123" s="5"/>
      <c r="B123" s="32"/>
      <c r="C123" s="137"/>
      <c r="D123" s="846"/>
      <c r="E123" s="854">
        <f t="shared" ref="E123:N123" si="80">IF(E118,INDEX($Q123:$U123,E119+1),0)</f>
        <v>0</v>
      </c>
      <c r="F123" s="854">
        <f t="shared" si="80"/>
        <v>0</v>
      </c>
      <c r="G123" s="854">
        <f t="shared" si="80"/>
        <v>0</v>
      </c>
      <c r="H123" s="854">
        <f t="shared" si="80"/>
        <v>0</v>
      </c>
      <c r="I123" s="854">
        <f t="shared" si="80"/>
        <v>0</v>
      </c>
      <c r="J123" s="854">
        <f t="shared" si="80"/>
        <v>0</v>
      </c>
      <c r="K123" s="854">
        <f t="shared" si="80"/>
        <v>0</v>
      </c>
      <c r="L123" s="854">
        <f t="shared" si="80"/>
        <v>0</v>
      </c>
      <c r="M123" s="854">
        <f t="shared" si="80"/>
        <v>0</v>
      </c>
      <c r="N123" s="854">
        <f t="shared" si="80"/>
        <v>0</v>
      </c>
      <c r="O123" s="32"/>
      <c r="P123" s="32"/>
      <c r="Q123" s="135">
        <v>0</v>
      </c>
      <c r="R123" s="135"/>
      <c r="S123" s="135"/>
      <c r="T123" s="135"/>
      <c r="U123" s="135"/>
    </row>
    <row r="124" spans="1:21">
      <c r="A124" s="5"/>
      <c r="B124" s="32"/>
      <c r="C124" s="137"/>
      <c r="D124" s="846"/>
      <c r="E124" s="854">
        <f t="shared" ref="E124:N124" si="81">IF(E118,INDEX($Q124:$U124,E119+1),0)</f>
        <v>0</v>
      </c>
      <c r="F124" s="854">
        <f t="shared" si="81"/>
        <v>0</v>
      </c>
      <c r="G124" s="854">
        <f t="shared" si="81"/>
        <v>0</v>
      </c>
      <c r="H124" s="854">
        <f t="shared" si="81"/>
        <v>0</v>
      </c>
      <c r="I124" s="854">
        <f t="shared" si="81"/>
        <v>0</v>
      </c>
      <c r="J124" s="854">
        <f t="shared" si="81"/>
        <v>0</v>
      </c>
      <c r="K124" s="854">
        <f t="shared" si="81"/>
        <v>0</v>
      </c>
      <c r="L124" s="854">
        <f t="shared" si="81"/>
        <v>0</v>
      </c>
      <c r="M124" s="854">
        <f t="shared" si="81"/>
        <v>0</v>
      </c>
      <c r="N124" s="854">
        <f t="shared" si="81"/>
        <v>0</v>
      </c>
      <c r="O124" s="32"/>
      <c r="P124" s="32"/>
      <c r="Q124" s="135">
        <v>0</v>
      </c>
      <c r="R124" s="135"/>
      <c r="S124" s="135"/>
      <c r="T124" s="135"/>
      <c r="U124" s="135"/>
    </row>
    <row r="125" spans="1:21">
      <c r="A125" s="5"/>
      <c r="B125" s="32"/>
      <c r="C125" s="137"/>
      <c r="D125" s="846"/>
      <c r="E125" s="854">
        <f t="shared" ref="E125:N125" si="82">IF(E118,INDEX($Q125:$U125,E119+1),0)</f>
        <v>0</v>
      </c>
      <c r="F125" s="854">
        <f t="shared" si="82"/>
        <v>0</v>
      </c>
      <c r="G125" s="854">
        <f t="shared" si="82"/>
        <v>0</v>
      </c>
      <c r="H125" s="854">
        <f t="shared" si="82"/>
        <v>0</v>
      </c>
      <c r="I125" s="854">
        <f t="shared" si="82"/>
        <v>0</v>
      </c>
      <c r="J125" s="854">
        <f t="shared" si="82"/>
        <v>0</v>
      </c>
      <c r="K125" s="854">
        <f t="shared" si="82"/>
        <v>0</v>
      </c>
      <c r="L125" s="854">
        <f t="shared" si="82"/>
        <v>0</v>
      </c>
      <c r="M125" s="854">
        <f t="shared" si="82"/>
        <v>0</v>
      </c>
      <c r="N125" s="854">
        <f t="shared" si="82"/>
        <v>0</v>
      </c>
      <c r="O125" s="32"/>
      <c r="P125" s="32"/>
      <c r="Q125" s="135">
        <v>0</v>
      </c>
      <c r="R125" s="487"/>
      <c r="S125" s="135"/>
      <c r="T125" s="135"/>
      <c r="U125" s="135"/>
    </row>
    <row r="126" spans="1:21">
      <c r="A126" s="5"/>
      <c r="B126" s="32"/>
      <c r="C126" s="137"/>
      <c r="D126" s="846"/>
      <c r="E126" s="854">
        <f t="shared" ref="E126:N126" si="83">IF(E118,INDEX($Q126:$U126,E119+1),0)</f>
        <v>0</v>
      </c>
      <c r="F126" s="854">
        <f t="shared" si="83"/>
        <v>0</v>
      </c>
      <c r="G126" s="854">
        <f t="shared" si="83"/>
        <v>0</v>
      </c>
      <c r="H126" s="854">
        <f t="shared" si="83"/>
        <v>0</v>
      </c>
      <c r="I126" s="854">
        <f t="shared" si="83"/>
        <v>0</v>
      </c>
      <c r="J126" s="854">
        <f t="shared" si="83"/>
        <v>0</v>
      </c>
      <c r="K126" s="854">
        <f t="shared" si="83"/>
        <v>0</v>
      </c>
      <c r="L126" s="854">
        <f t="shared" si="83"/>
        <v>0</v>
      </c>
      <c r="M126" s="854">
        <f t="shared" si="83"/>
        <v>0</v>
      </c>
      <c r="N126" s="854">
        <f t="shared" si="83"/>
        <v>0</v>
      </c>
      <c r="O126" s="32"/>
      <c r="P126" s="32"/>
      <c r="Q126" s="135">
        <v>0</v>
      </c>
      <c r="R126" s="487"/>
      <c r="S126" s="135"/>
      <c r="T126" s="135"/>
      <c r="U126" s="135"/>
    </row>
    <row r="127" spans="1:21">
      <c r="A127" s="5"/>
      <c r="B127" s="32"/>
      <c r="C127" s="137"/>
      <c r="D127" s="846"/>
      <c r="E127" s="854">
        <f t="shared" ref="E127:N127" si="84">IF(E118,INDEX($Q127:$U127,E119+1),0)</f>
        <v>0</v>
      </c>
      <c r="F127" s="854">
        <f t="shared" si="84"/>
        <v>0</v>
      </c>
      <c r="G127" s="854">
        <f t="shared" si="84"/>
        <v>0</v>
      </c>
      <c r="H127" s="854">
        <f t="shared" si="84"/>
        <v>0</v>
      </c>
      <c r="I127" s="854">
        <f t="shared" si="84"/>
        <v>0</v>
      </c>
      <c r="J127" s="854">
        <f t="shared" si="84"/>
        <v>0</v>
      </c>
      <c r="K127" s="854">
        <f t="shared" si="84"/>
        <v>0</v>
      </c>
      <c r="L127" s="854">
        <f t="shared" si="84"/>
        <v>0</v>
      </c>
      <c r="M127" s="854">
        <f t="shared" si="84"/>
        <v>0</v>
      </c>
      <c r="N127" s="854">
        <f t="shared" si="84"/>
        <v>0</v>
      </c>
      <c r="O127" s="32"/>
      <c r="P127" s="32"/>
      <c r="Q127" s="135">
        <v>0</v>
      </c>
      <c r="R127" s="135"/>
      <c r="S127" s="135"/>
      <c r="T127" s="135"/>
      <c r="U127" s="135"/>
    </row>
    <row r="128" spans="1:21">
      <c r="A128" s="5"/>
      <c r="B128" s="32"/>
      <c r="C128" s="137"/>
      <c r="D128" s="846"/>
      <c r="E128" s="854">
        <f t="shared" ref="E128:N128" si="85">IF(E118,INDEX($Q128:$U128,E119+1),0)</f>
        <v>0</v>
      </c>
      <c r="F128" s="854">
        <f t="shared" si="85"/>
        <v>0</v>
      </c>
      <c r="G128" s="854">
        <f t="shared" si="85"/>
        <v>0</v>
      </c>
      <c r="H128" s="854">
        <f t="shared" si="85"/>
        <v>0</v>
      </c>
      <c r="I128" s="854">
        <f t="shared" si="85"/>
        <v>0</v>
      </c>
      <c r="J128" s="854">
        <f t="shared" si="85"/>
        <v>0</v>
      </c>
      <c r="K128" s="854">
        <f t="shared" si="85"/>
        <v>0</v>
      </c>
      <c r="L128" s="854">
        <f t="shared" si="85"/>
        <v>0</v>
      </c>
      <c r="M128" s="854">
        <f t="shared" si="85"/>
        <v>0</v>
      </c>
      <c r="N128" s="854">
        <f t="shared" si="85"/>
        <v>0</v>
      </c>
      <c r="O128" s="32"/>
      <c r="P128" s="32"/>
      <c r="Q128" s="135">
        <v>0</v>
      </c>
      <c r="R128" s="135"/>
      <c r="S128" s="135"/>
      <c r="T128" s="135"/>
      <c r="U128" s="135"/>
    </row>
    <row r="129" spans="1:21">
      <c r="A129" s="5"/>
      <c r="B129" s="32"/>
      <c r="C129" s="137"/>
      <c r="D129" s="846"/>
      <c r="E129" s="854">
        <f t="shared" ref="E129:N129" si="86">IF(E118,INDEX($Q129:$U129,E119+1),0)</f>
        <v>0</v>
      </c>
      <c r="F129" s="854">
        <f t="shared" si="86"/>
        <v>0</v>
      </c>
      <c r="G129" s="854">
        <f t="shared" si="86"/>
        <v>0</v>
      </c>
      <c r="H129" s="854">
        <f t="shared" si="86"/>
        <v>0</v>
      </c>
      <c r="I129" s="854">
        <f t="shared" si="86"/>
        <v>0</v>
      </c>
      <c r="J129" s="854">
        <f t="shared" si="86"/>
        <v>0</v>
      </c>
      <c r="K129" s="854">
        <f t="shared" si="86"/>
        <v>0</v>
      </c>
      <c r="L129" s="854">
        <f t="shared" si="86"/>
        <v>0</v>
      </c>
      <c r="M129" s="854">
        <f t="shared" si="86"/>
        <v>0</v>
      </c>
      <c r="N129" s="854">
        <f t="shared" si="86"/>
        <v>0</v>
      </c>
      <c r="O129" s="32"/>
      <c r="P129" s="32"/>
      <c r="Q129" s="135">
        <v>0</v>
      </c>
      <c r="R129" s="135"/>
      <c r="S129" s="135"/>
      <c r="T129" s="135"/>
      <c r="U129" s="135"/>
    </row>
  </sheetData>
  <hyperlinks>
    <hyperlink ref="D4" r:id="rId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2"/>
  </sheetPr>
  <dimension ref="A1:AB63"/>
  <sheetViews>
    <sheetView workbookViewId="0">
      <selection activeCell="A25" sqref="A25"/>
    </sheetView>
  </sheetViews>
  <sheetFormatPr defaultColWidth="8.81640625" defaultRowHeight="13.8"/>
  <cols>
    <col min="1" max="1" width="26.453125" style="6" customWidth="1"/>
    <col min="2" max="2" width="31" style="6" customWidth="1"/>
    <col min="3" max="3" width="8.81640625" style="5"/>
    <col min="4" max="4" width="13.453125" style="5" bestFit="1" customWidth="1"/>
    <col min="5" max="8" width="11.81640625" style="5" bestFit="1" customWidth="1"/>
    <col min="9" max="14" width="11.81640625" style="5" customWidth="1"/>
    <col min="15" max="15" width="19.7265625" style="6" customWidth="1"/>
    <col min="16" max="16" width="12" style="5" bestFit="1" customWidth="1"/>
    <col min="17" max="17" width="12" style="5" customWidth="1"/>
    <col min="18" max="16384" width="8.81640625" style="5"/>
  </cols>
  <sheetData>
    <row r="1" spans="1:28" s="874" customFormat="1" ht="16.2">
      <c r="A1" s="873" t="s">
        <v>253</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8"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2652</v>
      </c>
      <c r="P2" s="875"/>
      <c r="Q2" s="875"/>
      <c r="R2" s="875"/>
      <c r="S2" s="875"/>
      <c r="U2" s="873"/>
    </row>
    <row r="3" spans="1:28" s="800" customFormat="1" ht="12.75" customHeight="1">
      <c r="C3" s="801"/>
      <c r="E3" s="825"/>
      <c r="F3" s="855"/>
      <c r="G3" s="856"/>
      <c r="H3" s="825"/>
      <c r="I3" s="825"/>
      <c r="J3" s="825"/>
      <c r="K3" s="855"/>
      <c r="L3" s="856"/>
      <c r="M3" s="825"/>
      <c r="N3" s="825"/>
    </row>
    <row r="4" spans="1:28" s="9" customFormat="1">
      <c r="A4" s="8" t="s">
        <v>253</v>
      </c>
      <c r="B4" s="8"/>
      <c r="E4" s="9" t="s">
        <v>7</v>
      </c>
      <c r="F4" s="9" t="s">
        <v>8</v>
      </c>
      <c r="G4" s="9" t="s">
        <v>9</v>
      </c>
      <c r="H4" s="9" t="s">
        <v>10</v>
      </c>
      <c r="I4" s="9" t="s">
        <v>11</v>
      </c>
      <c r="J4" s="9" t="s">
        <v>744</v>
      </c>
      <c r="K4" s="9" t="s">
        <v>745</v>
      </c>
      <c r="L4" s="9" t="s">
        <v>746</v>
      </c>
      <c r="M4" s="9" t="s">
        <v>747</v>
      </c>
      <c r="N4" s="9" t="s">
        <v>748</v>
      </c>
      <c r="O4" s="8"/>
      <c r="R4" s="9" t="s">
        <v>7</v>
      </c>
      <c r="S4" s="9" t="s">
        <v>8</v>
      </c>
      <c r="T4" s="9" t="s">
        <v>9</v>
      </c>
      <c r="U4" s="9" t="s">
        <v>10</v>
      </c>
      <c r="V4" s="9" t="s">
        <v>11</v>
      </c>
      <c r="W4" s="9" t="s">
        <v>744</v>
      </c>
      <c r="X4" s="9" t="s">
        <v>745</v>
      </c>
      <c r="Y4" s="9" t="s">
        <v>746</v>
      </c>
      <c r="Z4" s="9" t="s">
        <v>747</v>
      </c>
      <c r="AA4" s="9" t="s">
        <v>748</v>
      </c>
      <c r="AB4" s="9" t="s">
        <v>749</v>
      </c>
    </row>
    <row r="5" spans="1:28" s="10" customFormat="1">
      <c r="A5" s="36" t="s">
        <v>254</v>
      </c>
      <c r="B5" s="36" t="s">
        <v>158</v>
      </c>
      <c r="C5" s="10" t="s">
        <v>255</v>
      </c>
      <c r="D5" s="10" t="s">
        <v>256</v>
      </c>
      <c r="O5" s="10" t="s">
        <v>257</v>
      </c>
      <c r="P5" s="10" t="s">
        <v>258</v>
      </c>
    </row>
    <row r="6" spans="1:28" s="10" customFormat="1">
      <c r="A6" s="36" t="s">
        <v>259</v>
      </c>
      <c r="B6" s="36"/>
      <c r="O6" s="36"/>
    </row>
    <row r="7" spans="1:28">
      <c r="A7" s="6" t="s">
        <v>986</v>
      </c>
    </row>
    <row r="8" spans="1:28">
      <c r="A8" s="137" t="s">
        <v>987</v>
      </c>
      <c r="B8" s="137" t="s">
        <v>170</v>
      </c>
      <c r="C8" s="135" t="s">
        <v>260</v>
      </c>
      <c r="D8" s="135">
        <v>0</v>
      </c>
      <c r="E8" s="7">
        <f>IF($C8="R",$D8*(1+R8),$D8+R8)</f>
        <v>0</v>
      </c>
      <c r="F8" s="7">
        <f t="shared" ref="F8:F28" si="0">IF($C8="R",$D8*(1+S8),$D8+S8)</f>
        <v>0</v>
      </c>
      <c r="G8" s="7">
        <f t="shared" ref="G8:G28" si="1">IF($C8="R",$D8*(1+T8),$D8+T8)</f>
        <v>0</v>
      </c>
      <c r="H8" s="7">
        <f t="shared" ref="H8:H28" si="2">IF($C8="R",$D8*(1+U8),$D8+U8)</f>
        <v>0</v>
      </c>
      <c r="I8" s="7">
        <f t="shared" ref="I8:I28" si="3">IF($C8="R",$D8*(1+V8),$D8+V8)</f>
        <v>0</v>
      </c>
      <c r="J8" s="7">
        <f t="shared" ref="J8:J28" si="4">IF($C8="R",$D8*(1+W8),$D8+W8)</f>
        <v>0</v>
      </c>
      <c r="K8" s="7">
        <f t="shared" ref="K8:K28" si="5">IF($C8="R",$D8*(1+X8),$D8+X8)</f>
        <v>0</v>
      </c>
      <c r="L8" s="7">
        <f t="shared" ref="L8:L28" si="6">IF($C8="R",$D8*(1+Y8),$D8+Y8)</f>
        <v>0</v>
      </c>
      <c r="M8" s="7">
        <f t="shared" ref="M8:M28" si="7">IF($C8="R",$D8*(1+Z8),$D8+Z8)</f>
        <v>0</v>
      </c>
      <c r="N8" s="7">
        <f t="shared" ref="N8:N28" si="8">IF($C8="R",$D8*(1+AA8),$D8+AA8)</f>
        <v>0</v>
      </c>
      <c r="O8" s="502" t="str">
        <f t="shared" ref="O8:O16" si="9">"param"&amp;A8</f>
        <v>paramChallengeFTEs</v>
      </c>
      <c r="P8" s="7">
        <f>COUNTIF(adj!$C4:$C312,$A8)</f>
        <v>4</v>
      </c>
      <c r="R8" s="7">
        <f>SUMIF(adj!$C$3:$C$311,$A8,adj!E$3:E$311)</f>
        <v>0</v>
      </c>
      <c r="S8" s="7">
        <f>SUMIF(adj!$C$3:$C$311,$A8,adj!F$3:F$311)</f>
        <v>0</v>
      </c>
      <c r="T8" s="7">
        <f>SUMIF(adj!$C$3:$C$311,$A8,adj!G$3:G$311)</f>
        <v>0</v>
      </c>
      <c r="U8" s="7">
        <f>SUMIF(adj!$C$3:$C$311,$A8,adj!H$3:H$311)</f>
        <v>0</v>
      </c>
      <c r="V8" s="7">
        <f>SUMIF(adj!$C$3:$C$311,$A8,adj!I$3:I$311)</f>
        <v>0</v>
      </c>
      <c r="W8" s="7">
        <f>SUMIF(adj!$C$3:$C$311,$A8,adj!J$3:J$311)</f>
        <v>0</v>
      </c>
      <c r="X8" s="7">
        <f>SUMIF(adj!$C$3:$C$311,$A8,adj!K$3:K$311)</f>
        <v>0</v>
      </c>
      <c r="Y8" s="7">
        <f>SUMIF(adj!$C$3:$C$311,$A8,adj!L$3:L$311)</f>
        <v>0</v>
      </c>
      <c r="Z8" s="7">
        <f>SUMIF(adj!$C$3:$C$311,$A8,adj!M$3:M$311)</f>
        <v>0</v>
      </c>
      <c r="AA8" s="7">
        <f>SUMIF(adj!$C$3:$C$311,$A8,adj!N$3:N$311)</f>
        <v>0</v>
      </c>
      <c r="AB8" s="7">
        <f>SUMIF(adj!$C$3:$C$311,$A8,adj!O$3:O$311)</f>
        <v>0</v>
      </c>
    </row>
    <row r="9" spans="1:28">
      <c r="A9" s="137" t="s">
        <v>988</v>
      </c>
      <c r="B9" s="137" t="s">
        <v>269</v>
      </c>
      <c r="C9" s="135" t="s">
        <v>260</v>
      </c>
      <c r="D9" s="135">
        <v>0</v>
      </c>
      <c r="E9" s="7">
        <f t="shared" ref="E9:E28" si="10">IF($C9="R",$D9*(1+R9),$D9+R9)</f>
        <v>0</v>
      </c>
      <c r="F9" s="7">
        <f t="shared" si="0"/>
        <v>0</v>
      </c>
      <c r="G9" s="7">
        <f t="shared" si="1"/>
        <v>0</v>
      </c>
      <c r="H9" s="7">
        <f t="shared" si="2"/>
        <v>0</v>
      </c>
      <c r="I9" s="7">
        <f t="shared" si="3"/>
        <v>0</v>
      </c>
      <c r="J9" s="7">
        <f t="shared" si="4"/>
        <v>0</v>
      </c>
      <c r="K9" s="7">
        <f t="shared" si="5"/>
        <v>0</v>
      </c>
      <c r="L9" s="7">
        <f t="shared" si="6"/>
        <v>0</v>
      </c>
      <c r="M9" s="7">
        <f t="shared" si="7"/>
        <v>0</v>
      </c>
      <c r="N9" s="7">
        <f t="shared" si="8"/>
        <v>0</v>
      </c>
      <c r="O9" s="502" t="str">
        <f t="shared" si="9"/>
        <v>paramChallengeCosts</v>
      </c>
      <c r="P9" s="7">
        <f>COUNTIF(adj!$C5:$C313,$A9)</f>
        <v>3</v>
      </c>
      <c r="R9" s="7">
        <f>SUMIF(adj!$C$3:$C$311,$A9,adj!E$3:E$311)</f>
        <v>0</v>
      </c>
      <c r="S9" s="7">
        <f>SUMIF(adj!$C$3:$C$311,$A9,adj!F$3:F$311)</f>
        <v>0</v>
      </c>
      <c r="T9" s="7">
        <f>SUMIF(adj!$C$3:$C$311,$A9,adj!G$3:G$311)</f>
        <v>0</v>
      </c>
      <c r="U9" s="7">
        <f>SUMIF(adj!$C$3:$C$311,$A9,adj!H$3:H$311)</f>
        <v>0</v>
      </c>
      <c r="V9" s="7">
        <f>SUMIF(adj!$C$3:$C$311,$A9,adj!I$3:I$311)</f>
        <v>0</v>
      </c>
      <c r="W9" s="7">
        <f>SUMIF(adj!$C$3:$C$311,$A9,adj!J$3:J$311)</f>
        <v>0</v>
      </c>
      <c r="X9" s="7">
        <f>SUMIF(adj!$C$3:$C$311,$A9,adj!K$3:K$311)</f>
        <v>0</v>
      </c>
      <c r="Y9" s="7">
        <f>SUMIF(adj!$C$3:$C$311,$A9,adj!L$3:L$311)</f>
        <v>0</v>
      </c>
      <c r="Z9" s="7">
        <f>SUMIF(adj!$C$3:$C$311,$A9,adj!M$3:M$311)</f>
        <v>0</v>
      </c>
      <c r="AA9" s="7">
        <f>SUMIF(adj!$C$3:$C$311,$A9,adj!N$3:N$311)</f>
        <v>0</v>
      </c>
      <c r="AB9" s="7">
        <f>SUMIF(adj!$C$3:$C$311,$A9,adj!O$3:O$311)</f>
        <v>0</v>
      </c>
    </row>
    <row r="10" spans="1:28">
      <c r="A10" s="137" t="s">
        <v>989</v>
      </c>
      <c r="B10" s="137" t="s">
        <v>2665</v>
      </c>
      <c r="C10" s="135" t="s">
        <v>260</v>
      </c>
      <c r="D10" s="135">
        <v>0</v>
      </c>
      <c r="E10" s="7">
        <f t="shared" si="10"/>
        <v>0</v>
      </c>
      <c r="F10" s="7">
        <f t="shared" si="0"/>
        <v>0</v>
      </c>
      <c r="G10" s="7">
        <f t="shared" si="1"/>
        <v>0</v>
      </c>
      <c r="H10" s="7">
        <f t="shared" si="2"/>
        <v>0</v>
      </c>
      <c r="I10" s="7">
        <f t="shared" si="3"/>
        <v>0</v>
      </c>
      <c r="J10" s="7">
        <f t="shared" si="4"/>
        <v>0</v>
      </c>
      <c r="K10" s="7">
        <f t="shared" si="5"/>
        <v>0</v>
      </c>
      <c r="L10" s="7">
        <f t="shared" si="6"/>
        <v>0</v>
      </c>
      <c r="M10" s="7">
        <f t="shared" si="7"/>
        <v>0</v>
      </c>
      <c r="N10" s="7">
        <f t="shared" si="8"/>
        <v>0</v>
      </c>
      <c r="O10" s="502" t="str">
        <f t="shared" si="9"/>
        <v>paramChallengeCPE</v>
      </c>
      <c r="P10" s="7">
        <f>COUNTIF(adj!$C6:$C314,$A10)</f>
        <v>5</v>
      </c>
      <c r="R10" s="7">
        <f>SUMIF(adj!$C$3:$C$311,$A10,adj!E$3:E$311)</f>
        <v>0</v>
      </c>
      <c r="S10" s="7">
        <f>SUMIF(adj!$C$3:$C$311,$A10,adj!F$3:F$311)</f>
        <v>0</v>
      </c>
      <c r="T10" s="7">
        <f>SUMIF(adj!$C$3:$C$311,$A10,adj!G$3:G$311)</f>
        <v>0</v>
      </c>
      <c r="U10" s="7">
        <f>SUMIF(adj!$C$3:$C$311,$A10,adj!H$3:H$311)</f>
        <v>0</v>
      </c>
      <c r="V10" s="7">
        <f>SUMIF(adj!$C$3:$C$311,$A10,adj!I$3:I$311)</f>
        <v>0</v>
      </c>
      <c r="W10" s="7">
        <f>SUMIF(adj!$C$3:$C$311,$A10,adj!J$3:J$311)</f>
        <v>0</v>
      </c>
      <c r="X10" s="7">
        <f>SUMIF(adj!$C$3:$C$311,$A10,adj!K$3:K$311)</f>
        <v>0</v>
      </c>
      <c r="Y10" s="7">
        <f>SUMIF(adj!$C$3:$C$311,$A10,adj!L$3:L$311)</f>
        <v>0</v>
      </c>
      <c r="Z10" s="7">
        <f>SUMIF(adj!$C$3:$C$311,$A10,adj!M$3:M$311)</f>
        <v>0</v>
      </c>
      <c r="AA10" s="7">
        <f>SUMIF(adj!$C$3:$C$311,$A10,adj!N$3:N$311)</f>
        <v>0</v>
      </c>
      <c r="AB10" s="7">
        <f>SUMIF(adj!$C$3:$C$311,$A10,adj!O$3:O$311)</f>
        <v>0</v>
      </c>
    </row>
    <row r="11" spans="1:28">
      <c r="A11" s="137" t="s">
        <v>990</v>
      </c>
      <c r="B11" s="137" t="s">
        <v>394</v>
      </c>
      <c r="C11" s="135" t="s">
        <v>260</v>
      </c>
      <c r="D11" s="135">
        <v>0</v>
      </c>
      <c r="E11" s="7">
        <f t="shared" si="10"/>
        <v>0</v>
      </c>
      <c r="F11" s="7">
        <f t="shared" si="0"/>
        <v>0</v>
      </c>
      <c r="G11" s="7">
        <f t="shared" si="1"/>
        <v>0</v>
      </c>
      <c r="H11" s="7">
        <f t="shared" si="2"/>
        <v>0</v>
      </c>
      <c r="I11" s="7">
        <f t="shared" si="3"/>
        <v>0</v>
      </c>
      <c r="J11" s="7">
        <f t="shared" si="4"/>
        <v>0</v>
      </c>
      <c r="K11" s="7">
        <f t="shared" si="5"/>
        <v>0</v>
      </c>
      <c r="L11" s="7">
        <f t="shared" si="6"/>
        <v>0</v>
      </c>
      <c r="M11" s="7">
        <f t="shared" si="7"/>
        <v>0</v>
      </c>
      <c r="N11" s="7">
        <f t="shared" si="8"/>
        <v>0</v>
      </c>
      <c r="O11" s="502" t="str">
        <f t="shared" si="9"/>
        <v>paramChallengeWHI</v>
      </c>
      <c r="P11" s="7">
        <f>COUNTIF(adj!$C7:$C315,$A11)</f>
        <v>2</v>
      </c>
      <c r="R11" s="7">
        <f>SUMIF(adj!$C$3:$C$311,$A11,adj!E$3:E$311)</f>
        <v>0</v>
      </c>
      <c r="S11" s="7">
        <f>SUMIF(adj!$C$3:$C$311,$A11,adj!F$3:F$311)</f>
        <v>0</v>
      </c>
      <c r="T11" s="7">
        <f>SUMIF(adj!$C$3:$C$311,$A11,adj!G$3:G$311)</f>
        <v>0</v>
      </c>
      <c r="U11" s="7">
        <f>SUMIF(adj!$C$3:$C$311,$A11,adj!H$3:H$311)</f>
        <v>0</v>
      </c>
      <c r="V11" s="7">
        <f>SUMIF(adj!$C$3:$C$311,$A11,adj!I$3:I$311)</f>
        <v>0</v>
      </c>
      <c r="W11" s="7">
        <f>SUMIF(adj!$C$3:$C$311,$A11,adj!J$3:J$311)</f>
        <v>0</v>
      </c>
      <c r="X11" s="7">
        <f>SUMIF(adj!$C$3:$C$311,$A11,adj!K$3:K$311)</f>
        <v>0</v>
      </c>
      <c r="Y11" s="7">
        <f>SUMIF(adj!$C$3:$C$311,$A11,adj!L$3:L$311)</f>
        <v>0</v>
      </c>
      <c r="Z11" s="7">
        <f>SUMIF(adj!$C$3:$C$311,$A11,adj!M$3:M$311)</f>
        <v>0</v>
      </c>
      <c r="AA11" s="7">
        <f>SUMIF(adj!$C$3:$C$311,$A11,adj!N$3:N$311)</f>
        <v>0</v>
      </c>
      <c r="AB11" s="7">
        <f>SUMIF(adj!$C$3:$C$311,$A11,adj!O$3:O$311)</f>
        <v>0</v>
      </c>
    </row>
    <row r="12" spans="1:28">
      <c r="A12" s="137" t="s">
        <v>999</v>
      </c>
      <c r="B12" s="137" t="s">
        <v>1000</v>
      </c>
      <c r="C12" s="135" t="s">
        <v>260</v>
      </c>
      <c r="D12" s="135">
        <v>0</v>
      </c>
      <c r="E12" s="7">
        <f t="shared" si="10"/>
        <v>0</v>
      </c>
      <c r="F12" s="7">
        <f t="shared" si="0"/>
        <v>0</v>
      </c>
      <c r="G12" s="7">
        <f t="shared" si="1"/>
        <v>0</v>
      </c>
      <c r="H12" s="7">
        <f t="shared" si="2"/>
        <v>0</v>
      </c>
      <c r="I12" s="7">
        <f t="shared" si="3"/>
        <v>0</v>
      </c>
      <c r="J12" s="7">
        <f t="shared" si="4"/>
        <v>0</v>
      </c>
      <c r="K12" s="7">
        <f t="shared" si="5"/>
        <v>0</v>
      </c>
      <c r="L12" s="7">
        <f t="shared" si="6"/>
        <v>0</v>
      </c>
      <c r="M12" s="7">
        <f t="shared" si="7"/>
        <v>0</v>
      </c>
      <c r="N12" s="7">
        <f t="shared" si="8"/>
        <v>0</v>
      </c>
      <c r="O12" s="502" t="str">
        <f t="shared" si="9"/>
        <v>paramChallengeExecution</v>
      </c>
      <c r="P12" s="7">
        <f>COUNTIF(adj!$C8:$C316,$A12)</f>
        <v>0</v>
      </c>
      <c r="R12" s="7">
        <f>SUMIF(adj!$C$3:$C$311,$A12,adj!E$3:E$311)</f>
        <v>0</v>
      </c>
      <c r="S12" s="7">
        <f>SUMIF(adj!$C$3:$C$311,$A12,adj!F$3:F$311)</f>
        <v>0</v>
      </c>
      <c r="T12" s="7">
        <f>SUMIF(adj!$C$3:$C$311,$A12,adj!G$3:G$311)</f>
        <v>0</v>
      </c>
      <c r="U12" s="7">
        <f>SUMIF(adj!$C$3:$C$311,$A12,adj!H$3:H$311)</f>
        <v>0</v>
      </c>
      <c r="V12" s="7">
        <f>SUMIF(adj!$C$3:$C$311,$A12,adj!I$3:I$311)</f>
        <v>0</v>
      </c>
      <c r="W12" s="7">
        <f>SUMIF(adj!$C$3:$C$311,$A12,adj!J$3:J$311)</f>
        <v>0</v>
      </c>
      <c r="X12" s="7">
        <f>SUMIF(adj!$C$3:$C$311,$A12,adj!K$3:K$311)</f>
        <v>0</v>
      </c>
      <c r="Y12" s="7">
        <f>SUMIF(adj!$C$3:$C$311,$A12,adj!L$3:L$311)</f>
        <v>0</v>
      </c>
      <c r="Z12" s="7">
        <f>SUMIF(adj!$C$3:$C$311,$A12,adj!M$3:M$311)</f>
        <v>0</v>
      </c>
      <c r="AA12" s="7">
        <f>SUMIF(adj!$C$3:$C$311,$A12,adj!N$3:N$311)</f>
        <v>0</v>
      </c>
      <c r="AB12" s="7">
        <f>SUMIF(adj!$C$3:$C$311,$A12,adj!O$3:O$311)</f>
        <v>0</v>
      </c>
    </row>
    <row r="13" spans="1:28">
      <c r="A13" s="137" t="s">
        <v>991</v>
      </c>
      <c r="B13" s="137" t="s">
        <v>992</v>
      </c>
      <c r="C13" s="135" t="s">
        <v>260</v>
      </c>
      <c r="D13" s="135">
        <v>0</v>
      </c>
      <c r="E13" s="7">
        <f t="shared" si="10"/>
        <v>0</v>
      </c>
      <c r="F13" s="7">
        <f t="shared" si="0"/>
        <v>0</v>
      </c>
      <c r="G13" s="7">
        <f t="shared" si="1"/>
        <v>0</v>
      </c>
      <c r="H13" s="7">
        <f t="shared" si="2"/>
        <v>0</v>
      </c>
      <c r="I13" s="7">
        <f t="shared" si="3"/>
        <v>0</v>
      </c>
      <c r="J13" s="7">
        <f t="shared" si="4"/>
        <v>0</v>
      </c>
      <c r="K13" s="7">
        <f t="shared" si="5"/>
        <v>0</v>
      </c>
      <c r="L13" s="7">
        <f t="shared" si="6"/>
        <v>0</v>
      </c>
      <c r="M13" s="7">
        <f t="shared" si="7"/>
        <v>0</v>
      </c>
      <c r="N13" s="7">
        <f t="shared" si="8"/>
        <v>0</v>
      </c>
      <c r="O13" s="502" t="str">
        <f t="shared" si="9"/>
        <v>paramChallengeCustSuccessRev</v>
      </c>
      <c r="P13" s="7">
        <f>COUNTIF(adj!$C9:$C317,$A13)</f>
        <v>0</v>
      </c>
      <c r="R13" s="7">
        <f>SUMIF(adj!$C$3:$C$311,$A13,adj!E$3:E$311)</f>
        <v>0</v>
      </c>
      <c r="S13" s="7">
        <f>SUMIF(adj!$C$3:$C$311,$A13,adj!F$3:F$311)</f>
        <v>0</v>
      </c>
      <c r="T13" s="7">
        <f>SUMIF(adj!$C$3:$C$311,$A13,adj!G$3:G$311)</f>
        <v>0</v>
      </c>
      <c r="U13" s="7">
        <f>SUMIF(adj!$C$3:$C$311,$A13,adj!H$3:H$311)</f>
        <v>0</v>
      </c>
      <c r="V13" s="7">
        <f>SUMIF(adj!$C$3:$C$311,$A13,adj!I$3:I$311)</f>
        <v>0</v>
      </c>
      <c r="W13" s="7">
        <f>SUMIF(adj!$C$3:$C$311,$A13,adj!J$3:J$311)</f>
        <v>0</v>
      </c>
      <c r="X13" s="7">
        <f>SUMIF(adj!$C$3:$C$311,$A13,adj!K$3:K$311)</f>
        <v>0</v>
      </c>
      <c r="Y13" s="7">
        <f>SUMIF(adj!$C$3:$C$311,$A13,adj!L$3:L$311)</f>
        <v>0</v>
      </c>
      <c r="Z13" s="7">
        <f>SUMIF(adj!$C$3:$C$311,$A13,adj!M$3:M$311)</f>
        <v>0</v>
      </c>
      <c r="AA13" s="7">
        <f>SUMIF(adj!$C$3:$C$311,$A13,adj!N$3:N$311)</f>
        <v>0</v>
      </c>
      <c r="AB13" s="7">
        <f>SUMIF(adj!$C$3:$C$311,$A13,adj!O$3:O$311)</f>
        <v>0</v>
      </c>
    </row>
    <row r="14" spans="1:28">
      <c r="A14" s="137" t="s">
        <v>998</v>
      </c>
      <c r="B14" s="137" t="s">
        <v>997</v>
      </c>
      <c r="C14" s="135" t="s">
        <v>260</v>
      </c>
      <c r="D14" s="135">
        <v>0</v>
      </c>
      <c r="E14" s="7">
        <f t="shared" si="10"/>
        <v>0</v>
      </c>
      <c r="F14" s="7">
        <f t="shared" si="0"/>
        <v>0</v>
      </c>
      <c r="G14" s="7">
        <f t="shared" si="1"/>
        <v>0</v>
      </c>
      <c r="H14" s="7">
        <f t="shared" si="2"/>
        <v>0</v>
      </c>
      <c r="I14" s="7">
        <f t="shared" si="3"/>
        <v>0</v>
      </c>
      <c r="J14" s="7">
        <f t="shared" si="4"/>
        <v>0</v>
      </c>
      <c r="K14" s="7">
        <f t="shared" si="5"/>
        <v>0</v>
      </c>
      <c r="L14" s="7">
        <f t="shared" si="6"/>
        <v>0</v>
      </c>
      <c r="M14" s="7">
        <f t="shared" si="7"/>
        <v>0</v>
      </c>
      <c r="N14" s="7">
        <f t="shared" si="8"/>
        <v>0</v>
      </c>
      <c r="O14" s="502" t="str">
        <f t="shared" si="9"/>
        <v>paramChallengeCustSuccessOpMargin</v>
      </c>
      <c r="P14" s="7">
        <f>COUNTIF(adj!$C10:$C318,$A14)</f>
        <v>0</v>
      </c>
      <c r="R14" s="7">
        <f>SUMIF(adj!$C$3:$C$311,$A14,adj!E$3:E$311)</f>
        <v>0</v>
      </c>
      <c r="S14" s="7">
        <f>SUMIF(adj!$C$3:$C$311,$A14,adj!F$3:F$311)</f>
        <v>0</v>
      </c>
      <c r="T14" s="7">
        <f>SUMIF(adj!$C$3:$C$311,$A14,adj!G$3:G$311)</f>
        <v>0</v>
      </c>
      <c r="U14" s="7">
        <f>SUMIF(adj!$C$3:$C$311,$A14,adj!H$3:H$311)</f>
        <v>0</v>
      </c>
      <c r="V14" s="7">
        <f>SUMIF(adj!$C$3:$C$311,$A14,adj!I$3:I$311)</f>
        <v>0</v>
      </c>
      <c r="W14" s="7">
        <f>SUMIF(adj!$C$3:$C$311,$A14,adj!J$3:J$311)</f>
        <v>0</v>
      </c>
      <c r="X14" s="7">
        <f>SUMIF(adj!$C$3:$C$311,$A14,adj!K$3:K$311)</f>
        <v>0</v>
      </c>
      <c r="Y14" s="7">
        <f>SUMIF(adj!$C$3:$C$311,$A14,adj!L$3:L$311)</f>
        <v>0</v>
      </c>
      <c r="Z14" s="7">
        <f>SUMIF(adj!$C$3:$C$311,$A14,adj!M$3:M$311)</f>
        <v>0</v>
      </c>
      <c r="AA14" s="7">
        <f>SUMIF(adj!$C$3:$C$311,$A14,adj!N$3:N$311)</f>
        <v>0</v>
      </c>
      <c r="AB14" s="7">
        <f>SUMIF(adj!$C$3:$C$311,$A14,adj!O$3:O$311)</f>
        <v>0</v>
      </c>
    </row>
    <row r="15" spans="1:28">
      <c r="A15" s="137" t="s">
        <v>996</v>
      </c>
      <c r="B15" s="137" t="s">
        <v>995</v>
      </c>
      <c r="C15" s="135" t="s">
        <v>260</v>
      </c>
      <c r="D15" s="135">
        <v>0</v>
      </c>
      <c r="E15" s="7">
        <f t="shared" si="10"/>
        <v>0</v>
      </c>
      <c r="F15" s="7">
        <f t="shared" si="0"/>
        <v>0</v>
      </c>
      <c r="G15" s="7">
        <f t="shared" si="1"/>
        <v>0</v>
      </c>
      <c r="H15" s="7">
        <f t="shared" si="2"/>
        <v>0</v>
      </c>
      <c r="I15" s="7">
        <f t="shared" si="3"/>
        <v>0</v>
      </c>
      <c r="J15" s="7">
        <f t="shared" si="4"/>
        <v>0</v>
      </c>
      <c r="K15" s="7">
        <f t="shared" si="5"/>
        <v>0</v>
      </c>
      <c r="L15" s="7">
        <f t="shared" si="6"/>
        <v>0</v>
      </c>
      <c r="M15" s="7">
        <f t="shared" si="7"/>
        <v>0</v>
      </c>
      <c r="N15" s="7">
        <f t="shared" si="8"/>
        <v>0</v>
      </c>
      <c r="O15" s="502" t="str">
        <f t="shared" si="9"/>
        <v>paramChallengeCustSuccessCSAT</v>
      </c>
      <c r="P15" s="7">
        <f>COUNTIF(adj!$C11:$C319,$A15)</f>
        <v>0</v>
      </c>
      <c r="R15" s="7">
        <f>SUMIF(adj!$C$3:$C$311,$A15,adj!E$3:E$311)</f>
        <v>0</v>
      </c>
      <c r="S15" s="7">
        <f>SUMIF(adj!$C$3:$C$311,$A15,adj!F$3:F$311)</f>
        <v>0</v>
      </c>
      <c r="T15" s="7">
        <f>SUMIF(adj!$C$3:$C$311,$A15,adj!G$3:G$311)</f>
        <v>0</v>
      </c>
      <c r="U15" s="7">
        <f>SUMIF(adj!$C$3:$C$311,$A15,adj!H$3:H$311)</f>
        <v>0</v>
      </c>
      <c r="V15" s="7">
        <f>SUMIF(adj!$C$3:$C$311,$A15,adj!I$3:I$311)</f>
        <v>0</v>
      </c>
      <c r="W15" s="7">
        <f>SUMIF(adj!$C$3:$C$311,$A15,adj!J$3:J$311)</f>
        <v>0</v>
      </c>
      <c r="X15" s="7">
        <f>SUMIF(adj!$C$3:$C$311,$A15,adj!K$3:K$311)</f>
        <v>0</v>
      </c>
      <c r="Y15" s="7">
        <f>SUMIF(adj!$C$3:$C$311,$A15,adj!L$3:L$311)</f>
        <v>0</v>
      </c>
      <c r="Z15" s="7">
        <f>SUMIF(adj!$C$3:$C$311,$A15,adj!M$3:M$311)</f>
        <v>0</v>
      </c>
      <c r="AA15" s="7">
        <f>SUMIF(adj!$C$3:$C$311,$A15,adj!N$3:N$311)</f>
        <v>0</v>
      </c>
      <c r="AB15" s="7">
        <f>SUMIF(adj!$C$3:$C$311,$A15,adj!O$3:O$311)</f>
        <v>0</v>
      </c>
    </row>
    <row r="16" spans="1:28">
      <c r="A16" s="137" t="s">
        <v>994</v>
      </c>
      <c r="B16" s="137" t="s">
        <v>993</v>
      </c>
      <c r="C16" s="135" t="s">
        <v>260</v>
      </c>
      <c r="D16" s="135">
        <v>0</v>
      </c>
      <c r="E16" s="7">
        <f t="shared" si="10"/>
        <v>0</v>
      </c>
      <c r="F16" s="7">
        <f t="shared" si="0"/>
        <v>0</v>
      </c>
      <c r="G16" s="7">
        <f t="shared" si="1"/>
        <v>0</v>
      </c>
      <c r="H16" s="7">
        <f t="shared" si="2"/>
        <v>0</v>
      </c>
      <c r="I16" s="7">
        <f t="shared" si="3"/>
        <v>0</v>
      </c>
      <c r="J16" s="7">
        <f t="shared" si="4"/>
        <v>0</v>
      </c>
      <c r="K16" s="7">
        <f t="shared" si="5"/>
        <v>0</v>
      </c>
      <c r="L16" s="7">
        <f t="shared" si="6"/>
        <v>0</v>
      </c>
      <c r="M16" s="7">
        <f t="shared" si="7"/>
        <v>0</v>
      </c>
      <c r="N16" s="7">
        <f t="shared" si="8"/>
        <v>0</v>
      </c>
      <c r="O16" s="502" t="str">
        <f t="shared" si="9"/>
        <v>paramChallengeCustSuccessWHI</v>
      </c>
      <c r="P16" s="7">
        <f>COUNTIF(adj!$C12:$C320,$A16)</f>
        <v>0</v>
      </c>
      <c r="R16" s="7">
        <f>SUMIF(adj!$C$3:$C$311,$A16,adj!E$3:E$311)</f>
        <v>0</v>
      </c>
      <c r="S16" s="7">
        <f>SUMIF(adj!$C$3:$C$311,$A16,adj!F$3:F$311)</f>
        <v>0</v>
      </c>
      <c r="T16" s="7">
        <f>SUMIF(adj!$C$3:$C$311,$A16,adj!G$3:G$311)</f>
        <v>0</v>
      </c>
      <c r="U16" s="7">
        <f>SUMIF(adj!$C$3:$C$311,$A16,adj!H$3:H$311)</f>
        <v>0</v>
      </c>
      <c r="V16" s="7">
        <f>SUMIF(adj!$C$3:$C$311,$A16,adj!I$3:I$311)</f>
        <v>0</v>
      </c>
      <c r="W16" s="7">
        <f>SUMIF(adj!$C$3:$C$311,$A16,adj!J$3:J$311)</f>
        <v>0</v>
      </c>
      <c r="X16" s="7">
        <f>SUMIF(adj!$C$3:$C$311,$A16,adj!K$3:K$311)</f>
        <v>0</v>
      </c>
      <c r="Y16" s="7">
        <f>SUMIF(adj!$C$3:$C$311,$A16,adj!L$3:L$311)</f>
        <v>0</v>
      </c>
      <c r="Z16" s="7">
        <f>SUMIF(adj!$C$3:$C$311,$A16,adj!M$3:M$311)</f>
        <v>0</v>
      </c>
      <c r="AA16" s="7">
        <f>SUMIF(adj!$C$3:$C$311,$A16,adj!N$3:N$311)</f>
        <v>0</v>
      </c>
      <c r="AB16" s="7">
        <f>SUMIF(adj!$C$3:$C$311,$A16,adj!O$3:O$311)</f>
        <v>0</v>
      </c>
    </row>
    <row r="17" spans="1:28">
      <c r="A17" s="137" t="s">
        <v>2658</v>
      </c>
      <c r="B17" s="137" t="str">
        <f>nmProd1Seg1&amp;" Consumption"</f>
        <v>Productivity &amp; Business Enterprise Consumption</v>
      </c>
      <c r="C17" s="135" t="s">
        <v>260</v>
      </c>
      <c r="D17" s="135">
        <v>0</v>
      </c>
      <c r="E17" s="7">
        <f t="shared" si="10"/>
        <v>0</v>
      </c>
      <c r="F17" s="7">
        <f t="shared" si="0"/>
        <v>0</v>
      </c>
      <c r="G17" s="7">
        <f t="shared" si="1"/>
        <v>0</v>
      </c>
      <c r="H17" s="7">
        <f t="shared" si="2"/>
        <v>0</v>
      </c>
      <c r="I17" s="7">
        <f t="shared" si="3"/>
        <v>0</v>
      </c>
      <c r="J17" s="7">
        <f t="shared" si="4"/>
        <v>0</v>
      </c>
      <c r="K17" s="7">
        <f t="shared" si="5"/>
        <v>0</v>
      </c>
      <c r="L17" s="7">
        <f t="shared" si="6"/>
        <v>0</v>
      </c>
      <c r="M17" s="7">
        <f t="shared" si="7"/>
        <v>0</v>
      </c>
      <c r="N17" s="7">
        <f t="shared" si="8"/>
        <v>0</v>
      </c>
      <c r="O17" s="502" t="str">
        <f t="shared" ref="O17:O28" si="11">"param"&amp;A17</f>
        <v>paramChallengeProd1Seg1Consumption</v>
      </c>
      <c r="P17" s="7">
        <f>COUNTIF(adj!$C13:$C321,$A17)</f>
        <v>0</v>
      </c>
      <c r="R17" s="7">
        <f>SUMIF(adj!$C$3:$C$311,$A17,adj!E$3:E$311)</f>
        <v>0</v>
      </c>
      <c r="S17" s="7">
        <f>SUMIF(adj!$C$3:$C$311,$A17,adj!F$3:F$311)</f>
        <v>0</v>
      </c>
      <c r="T17" s="7">
        <f>SUMIF(adj!$C$3:$C$311,$A17,adj!G$3:G$311)</f>
        <v>0</v>
      </c>
      <c r="U17" s="7">
        <f>SUMIF(adj!$C$3:$C$311,$A17,adj!H$3:H$311)</f>
        <v>0</v>
      </c>
      <c r="V17" s="7">
        <f>SUMIF(adj!$C$3:$C$311,$A17,adj!I$3:I$311)</f>
        <v>0</v>
      </c>
      <c r="W17" s="7">
        <f>SUMIF(adj!$C$3:$C$311,$A17,adj!J$3:J$311)</f>
        <v>0</v>
      </c>
      <c r="X17" s="7">
        <f>SUMIF(adj!$C$3:$C$311,$A17,adj!K$3:K$311)</f>
        <v>0</v>
      </c>
      <c r="Y17" s="7">
        <f>SUMIF(adj!$C$3:$C$311,$A17,adj!L$3:L$311)</f>
        <v>0</v>
      </c>
      <c r="Z17" s="7">
        <f>SUMIF(adj!$C$3:$C$311,$A17,adj!M$3:M$311)</f>
        <v>0</v>
      </c>
      <c r="AA17" s="7">
        <f>SUMIF(adj!$C$3:$C$311,$A17,adj!N$3:N$311)</f>
        <v>0</v>
      </c>
      <c r="AB17" s="7">
        <f>SUMIF(adj!$C$3:$C$311,$A17,adj!O$3:O$311)</f>
        <v>0</v>
      </c>
    </row>
    <row r="18" spans="1:28">
      <c r="A18" s="137" t="s">
        <v>2437</v>
      </c>
      <c r="B18" s="137" t="str">
        <f>nmProd1Seg1&amp;" Revenue"</f>
        <v>Productivity &amp; Business Enterprise Revenue</v>
      </c>
      <c r="C18" s="135" t="s">
        <v>260</v>
      </c>
      <c r="D18" s="135">
        <v>0</v>
      </c>
      <c r="E18" s="7">
        <f t="shared" si="10"/>
        <v>0</v>
      </c>
      <c r="F18" s="7">
        <f t="shared" si="0"/>
        <v>0</v>
      </c>
      <c r="G18" s="7">
        <f t="shared" si="1"/>
        <v>0</v>
      </c>
      <c r="H18" s="7">
        <f t="shared" si="2"/>
        <v>0</v>
      </c>
      <c r="I18" s="7">
        <f t="shared" si="3"/>
        <v>0</v>
      </c>
      <c r="J18" s="7">
        <f t="shared" si="4"/>
        <v>0</v>
      </c>
      <c r="K18" s="7">
        <f t="shared" si="5"/>
        <v>0</v>
      </c>
      <c r="L18" s="7">
        <f t="shared" si="6"/>
        <v>0</v>
      </c>
      <c r="M18" s="7">
        <f t="shared" si="7"/>
        <v>0</v>
      </c>
      <c r="N18" s="7">
        <f t="shared" si="8"/>
        <v>0</v>
      </c>
      <c r="O18" s="502" t="str">
        <f t="shared" si="11"/>
        <v>paramChallengeProd1Seg1Revenue</v>
      </c>
      <c r="P18" s="7">
        <f>COUNTIF(adj!$C14:$C322,$A18)</f>
        <v>0</v>
      </c>
      <c r="R18" s="7">
        <f>SUMIF(adj!$C$3:$C$311,$A18,adj!E$3:E$311)</f>
        <v>0</v>
      </c>
      <c r="S18" s="7">
        <f>SUMIF(adj!$C$3:$C$311,$A18,adj!F$3:F$311)</f>
        <v>0</v>
      </c>
      <c r="T18" s="7">
        <f>SUMIF(adj!$C$3:$C$311,$A18,adj!G$3:G$311)</f>
        <v>0</v>
      </c>
      <c r="U18" s="7">
        <f>SUMIF(adj!$C$3:$C$311,$A18,adj!H$3:H$311)</f>
        <v>0</v>
      </c>
      <c r="V18" s="7">
        <f>SUMIF(adj!$C$3:$C$311,$A18,adj!I$3:I$311)</f>
        <v>0</v>
      </c>
      <c r="W18" s="7">
        <f>SUMIF(adj!$C$3:$C$311,$A18,adj!J$3:J$311)</f>
        <v>0</v>
      </c>
      <c r="X18" s="7">
        <f>SUMIF(adj!$C$3:$C$311,$A18,adj!K$3:K$311)</f>
        <v>0</v>
      </c>
      <c r="Y18" s="7">
        <f>SUMIF(adj!$C$3:$C$311,$A18,adj!L$3:L$311)</f>
        <v>0</v>
      </c>
      <c r="Z18" s="7">
        <f>SUMIF(adj!$C$3:$C$311,$A18,adj!M$3:M$311)</f>
        <v>0</v>
      </c>
      <c r="AA18" s="7">
        <f>SUMIF(adj!$C$3:$C$311,$A18,adj!N$3:N$311)</f>
        <v>0</v>
      </c>
      <c r="AB18" s="7">
        <f>SUMIF(adj!$C$3:$C$311,$A18,adj!O$3:O$311)</f>
        <v>0</v>
      </c>
    </row>
    <row r="19" spans="1:28">
      <c r="A19" s="137" t="s">
        <v>2438</v>
      </c>
      <c r="B19" s="137" t="str">
        <f>nmProd1Seg1&amp;" COGS"</f>
        <v>Productivity &amp; Business Enterprise COGS</v>
      </c>
      <c r="C19" s="135" t="s">
        <v>260</v>
      </c>
      <c r="D19" s="135">
        <v>0</v>
      </c>
      <c r="E19" s="7">
        <f t="shared" si="10"/>
        <v>0</v>
      </c>
      <c r="F19" s="7">
        <f t="shared" si="0"/>
        <v>0</v>
      </c>
      <c r="G19" s="7">
        <f t="shared" si="1"/>
        <v>0</v>
      </c>
      <c r="H19" s="7">
        <f t="shared" si="2"/>
        <v>0</v>
      </c>
      <c r="I19" s="7">
        <f t="shared" si="3"/>
        <v>0</v>
      </c>
      <c r="J19" s="7">
        <f t="shared" si="4"/>
        <v>0</v>
      </c>
      <c r="K19" s="7">
        <f t="shared" si="5"/>
        <v>0</v>
      </c>
      <c r="L19" s="7">
        <f t="shared" si="6"/>
        <v>0</v>
      </c>
      <c r="M19" s="7">
        <f t="shared" si="7"/>
        <v>0</v>
      </c>
      <c r="N19" s="7">
        <f t="shared" si="8"/>
        <v>0</v>
      </c>
      <c r="O19" s="502" t="str">
        <f t="shared" si="11"/>
        <v>paramChallengeProd1Seg1COGS</v>
      </c>
      <c r="P19" s="7">
        <f>COUNTIF(adj!$C15:$C323,$A19)</f>
        <v>0</v>
      </c>
      <c r="R19" s="7">
        <f>SUMIF(adj!$C$3:$C$311,$A19,adj!E$3:E$311)</f>
        <v>0</v>
      </c>
      <c r="S19" s="7">
        <f>SUMIF(adj!$C$3:$C$311,$A19,adj!F$3:F$311)</f>
        <v>0</v>
      </c>
      <c r="T19" s="7">
        <f>SUMIF(adj!$C$3:$C$311,$A19,adj!G$3:G$311)</f>
        <v>0</v>
      </c>
      <c r="U19" s="7">
        <f>SUMIF(adj!$C$3:$C$311,$A19,adj!H$3:H$311)</f>
        <v>0</v>
      </c>
      <c r="V19" s="7">
        <f>SUMIF(adj!$C$3:$C$311,$A19,adj!I$3:I$311)</f>
        <v>0</v>
      </c>
      <c r="W19" s="7">
        <f>SUMIF(adj!$C$3:$C$311,$A19,adj!J$3:J$311)</f>
        <v>0</v>
      </c>
      <c r="X19" s="7">
        <f>SUMIF(adj!$C$3:$C$311,$A19,adj!K$3:K$311)</f>
        <v>0</v>
      </c>
      <c r="Y19" s="7">
        <f>SUMIF(adj!$C$3:$C$311,$A19,adj!L$3:L$311)</f>
        <v>0</v>
      </c>
      <c r="Z19" s="7">
        <f>SUMIF(adj!$C$3:$C$311,$A19,adj!M$3:M$311)</f>
        <v>0</v>
      </c>
      <c r="AA19" s="7">
        <f>SUMIF(adj!$C$3:$C$311,$A19,adj!N$3:N$311)</f>
        <v>0</v>
      </c>
      <c r="AB19" s="7">
        <f>SUMIF(adj!$C$3:$C$311,$A19,adj!O$3:O$311)</f>
        <v>0</v>
      </c>
    </row>
    <row r="20" spans="1:28">
      <c r="A20" s="137" t="s">
        <v>3281</v>
      </c>
      <c r="B20" s="137" t="str">
        <f>nmProd2Seg1&amp;" Consumption"</f>
        <v>Intelligent Cloud Enterprise Consumption</v>
      </c>
      <c r="C20" s="135" t="s">
        <v>260</v>
      </c>
      <c r="D20" s="135">
        <v>0</v>
      </c>
      <c r="E20" s="7">
        <f t="shared" ref="E20:E22" si="12">IF($C20="R",$D20*(1+R20),$D20+R20)</f>
        <v>0</v>
      </c>
      <c r="F20" s="7">
        <f t="shared" ref="F20:F22" si="13">IF($C20="R",$D20*(1+S20),$D20+S20)</f>
        <v>0</v>
      </c>
      <c r="G20" s="7">
        <f t="shared" ref="G20:G22" si="14">IF($C20="R",$D20*(1+T20),$D20+T20)</f>
        <v>0</v>
      </c>
      <c r="H20" s="7">
        <f t="shared" ref="H20:H22" si="15">IF($C20="R",$D20*(1+U20),$D20+U20)</f>
        <v>0</v>
      </c>
      <c r="I20" s="7">
        <f t="shared" ref="I20:I22" si="16">IF($C20="R",$D20*(1+V20),$D20+V20)</f>
        <v>0</v>
      </c>
      <c r="J20" s="7">
        <f t="shared" ref="J20:J22" si="17">IF($C20="R",$D20*(1+W20),$D20+W20)</f>
        <v>0</v>
      </c>
      <c r="K20" s="7">
        <f t="shared" ref="K20:K22" si="18">IF($C20="R",$D20*(1+X20),$D20+X20)</f>
        <v>0</v>
      </c>
      <c r="L20" s="7">
        <f t="shared" ref="L20:L22" si="19">IF($C20="R",$D20*(1+Y20),$D20+Y20)</f>
        <v>0</v>
      </c>
      <c r="M20" s="7">
        <f t="shared" ref="M20:M22" si="20">IF($C20="R",$D20*(1+Z20),$D20+Z20)</f>
        <v>0</v>
      </c>
      <c r="N20" s="7">
        <f t="shared" ref="N20:N22" si="21">IF($C20="R",$D20*(1+AA20),$D20+AA20)</f>
        <v>0</v>
      </c>
      <c r="O20" s="502" t="str">
        <f t="shared" ref="O20:O22" si="22">"param"&amp;A20</f>
        <v>paramChallengeProd2Seg1Consumption</v>
      </c>
      <c r="P20" s="7">
        <f>COUNTIF(adj!$C16:$C324,$A20)</f>
        <v>1</v>
      </c>
      <c r="R20" s="7">
        <f>SUMIF(adj!$C$3:$C$311,$A20,adj!E$3:E$311)</f>
        <v>0</v>
      </c>
      <c r="S20" s="7">
        <f>SUMIF(adj!$C$3:$C$311,$A20,adj!F$3:F$311)</f>
        <v>0</v>
      </c>
      <c r="T20" s="7">
        <f>SUMIF(adj!$C$3:$C$311,$A20,adj!G$3:G$311)</f>
        <v>0</v>
      </c>
      <c r="U20" s="7">
        <f>SUMIF(adj!$C$3:$C$311,$A20,adj!H$3:H$311)</f>
        <v>0</v>
      </c>
      <c r="V20" s="7">
        <f>SUMIF(adj!$C$3:$C$311,$A20,adj!I$3:I$311)</f>
        <v>0</v>
      </c>
      <c r="W20" s="7">
        <f>SUMIF(adj!$C$3:$C$311,$A20,adj!J$3:J$311)</f>
        <v>0</v>
      </c>
      <c r="X20" s="7">
        <f>SUMIF(adj!$C$3:$C$311,$A20,adj!K$3:K$311)</f>
        <v>0</v>
      </c>
      <c r="Y20" s="7">
        <f>SUMIF(adj!$C$3:$C$311,$A20,adj!L$3:L$311)</f>
        <v>0</v>
      </c>
      <c r="Z20" s="7">
        <f>SUMIF(adj!$C$3:$C$311,$A20,adj!M$3:M$311)</f>
        <v>0</v>
      </c>
      <c r="AA20" s="7">
        <f>SUMIF(adj!$C$3:$C$311,$A20,adj!N$3:N$311)</f>
        <v>0</v>
      </c>
      <c r="AB20" s="7">
        <f>SUMIF(adj!$C$3:$C$311,$A20,adj!O$3:O$311)</f>
        <v>0</v>
      </c>
    </row>
    <row r="21" spans="1:28">
      <c r="A21" s="137" t="s">
        <v>2861</v>
      </c>
      <c r="B21" s="137" t="str">
        <f>nmProd2Seg1&amp;" Revenue"</f>
        <v>Intelligent Cloud Enterprise Revenue</v>
      </c>
      <c r="C21" s="135" t="s">
        <v>260</v>
      </c>
      <c r="D21" s="135">
        <v>0</v>
      </c>
      <c r="E21" s="7">
        <f t="shared" si="12"/>
        <v>0</v>
      </c>
      <c r="F21" s="7">
        <f t="shared" si="13"/>
        <v>0</v>
      </c>
      <c r="G21" s="7">
        <f t="shared" si="14"/>
        <v>0</v>
      </c>
      <c r="H21" s="7">
        <f t="shared" si="15"/>
        <v>0</v>
      </c>
      <c r="I21" s="7">
        <f t="shared" si="16"/>
        <v>0</v>
      </c>
      <c r="J21" s="7">
        <f t="shared" si="17"/>
        <v>0</v>
      </c>
      <c r="K21" s="7">
        <f t="shared" si="18"/>
        <v>0</v>
      </c>
      <c r="L21" s="7">
        <f t="shared" si="19"/>
        <v>0</v>
      </c>
      <c r="M21" s="7">
        <f t="shared" si="20"/>
        <v>0</v>
      </c>
      <c r="N21" s="7">
        <f t="shared" si="21"/>
        <v>0</v>
      </c>
      <c r="O21" s="502" t="str">
        <f t="shared" si="22"/>
        <v>paramChallengeProd2Seg1Revenue</v>
      </c>
      <c r="P21" s="7">
        <f>COUNTIF(adj!$C17:$C325,$A21)</f>
        <v>2</v>
      </c>
      <c r="R21" s="7">
        <f>SUMIF(adj!$C$3:$C$311,$A21,adj!E$3:E$311)</f>
        <v>0</v>
      </c>
      <c r="S21" s="7">
        <f>SUMIF(adj!$C$3:$C$311,$A21,adj!F$3:F$311)</f>
        <v>0</v>
      </c>
      <c r="T21" s="7">
        <f>SUMIF(adj!$C$3:$C$311,$A21,adj!G$3:G$311)</f>
        <v>0</v>
      </c>
      <c r="U21" s="7">
        <f>SUMIF(adj!$C$3:$C$311,$A21,adj!H$3:H$311)</f>
        <v>0</v>
      </c>
      <c r="V21" s="7">
        <f>SUMIF(adj!$C$3:$C$311,$A21,adj!I$3:I$311)</f>
        <v>0</v>
      </c>
      <c r="W21" s="7">
        <f>SUMIF(adj!$C$3:$C$311,$A21,adj!J$3:J$311)</f>
        <v>0</v>
      </c>
      <c r="X21" s="7">
        <f>SUMIF(adj!$C$3:$C$311,$A21,adj!K$3:K$311)</f>
        <v>0</v>
      </c>
      <c r="Y21" s="7">
        <f>SUMIF(adj!$C$3:$C$311,$A21,adj!L$3:L$311)</f>
        <v>0</v>
      </c>
      <c r="Z21" s="7">
        <f>SUMIF(adj!$C$3:$C$311,$A21,adj!M$3:M$311)</f>
        <v>0</v>
      </c>
      <c r="AA21" s="7">
        <f>SUMIF(adj!$C$3:$C$311,$A21,adj!N$3:N$311)</f>
        <v>0</v>
      </c>
      <c r="AB21" s="7">
        <f>SUMIF(adj!$C$3:$C$311,$A21,adj!O$3:O$311)</f>
        <v>0</v>
      </c>
    </row>
    <row r="22" spans="1:28">
      <c r="A22" s="137" t="s">
        <v>2862</v>
      </c>
      <c r="B22" s="137" t="str">
        <f>nmProd2Seg1&amp;" COGS"</f>
        <v>Intelligent Cloud Enterprise COGS</v>
      </c>
      <c r="C22" s="135" t="s">
        <v>260</v>
      </c>
      <c r="D22" s="135">
        <v>0</v>
      </c>
      <c r="E22" s="7">
        <f t="shared" si="12"/>
        <v>0</v>
      </c>
      <c r="F22" s="7">
        <f t="shared" si="13"/>
        <v>0</v>
      </c>
      <c r="G22" s="7">
        <f t="shared" si="14"/>
        <v>0</v>
      </c>
      <c r="H22" s="7">
        <f t="shared" si="15"/>
        <v>0</v>
      </c>
      <c r="I22" s="7">
        <f t="shared" si="16"/>
        <v>0</v>
      </c>
      <c r="J22" s="7">
        <f t="shared" si="17"/>
        <v>0</v>
      </c>
      <c r="K22" s="7">
        <f t="shared" si="18"/>
        <v>0</v>
      </c>
      <c r="L22" s="7">
        <f t="shared" si="19"/>
        <v>0</v>
      </c>
      <c r="M22" s="7">
        <f t="shared" si="20"/>
        <v>0</v>
      </c>
      <c r="N22" s="7">
        <f t="shared" si="21"/>
        <v>0</v>
      </c>
      <c r="O22" s="502" t="str">
        <f t="shared" si="22"/>
        <v>paramChallengeProd2Seg1COGS</v>
      </c>
      <c r="P22" s="7">
        <f>COUNTIF(adj!$C18:$C326,$A22)</f>
        <v>0</v>
      </c>
      <c r="R22" s="7">
        <f>SUMIF(adj!$C$3:$C$311,$A22,adj!E$3:E$311)</f>
        <v>0</v>
      </c>
      <c r="S22" s="7">
        <f>SUMIF(adj!$C$3:$C$311,$A22,adj!F$3:F$311)</f>
        <v>0</v>
      </c>
      <c r="T22" s="7">
        <f>SUMIF(adj!$C$3:$C$311,$A22,adj!G$3:G$311)</f>
        <v>0</v>
      </c>
      <c r="U22" s="7">
        <f>SUMIF(adj!$C$3:$C$311,$A22,adj!H$3:H$311)</f>
        <v>0</v>
      </c>
      <c r="V22" s="7">
        <f>SUMIF(adj!$C$3:$C$311,$A22,adj!I$3:I$311)</f>
        <v>0</v>
      </c>
      <c r="W22" s="7">
        <f>SUMIF(adj!$C$3:$C$311,$A22,adj!J$3:J$311)</f>
        <v>0</v>
      </c>
      <c r="X22" s="7">
        <f>SUMIF(adj!$C$3:$C$311,$A22,adj!K$3:K$311)</f>
        <v>0</v>
      </c>
      <c r="Y22" s="7">
        <f>SUMIF(adj!$C$3:$C$311,$A22,adj!L$3:L$311)</f>
        <v>0</v>
      </c>
      <c r="Z22" s="7">
        <f>SUMIF(adj!$C$3:$C$311,$A22,adj!M$3:M$311)</f>
        <v>0</v>
      </c>
      <c r="AA22" s="7">
        <f>SUMIF(adj!$C$3:$C$311,$A22,adj!N$3:N$311)</f>
        <v>0</v>
      </c>
      <c r="AB22" s="7">
        <f>SUMIF(adj!$C$3:$C$311,$A22,adj!O$3:O$311)</f>
        <v>0</v>
      </c>
    </row>
    <row r="23" spans="1:28">
      <c r="A23" s="137" t="s">
        <v>2439</v>
      </c>
      <c r="B23" s="137" t="str">
        <f>nmProd2&amp;" Cloud Adoption"</f>
        <v>Intelligent Cloud Cloud Adoption</v>
      </c>
      <c r="C23" s="135" t="s">
        <v>260</v>
      </c>
      <c r="D23" s="135">
        <v>0</v>
      </c>
      <c r="E23" s="7">
        <f t="shared" si="10"/>
        <v>0</v>
      </c>
      <c r="F23" s="7">
        <f t="shared" si="0"/>
        <v>0</v>
      </c>
      <c r="G23" s="7">
        <f t="shared" si="1"/>
        <v>0</v>
      </c>
      <c r="H23" s="7">
        <f t="shared" si="2"/>
        <v>0</v>
      </c>
      <c r="I23" s="7">
        <f t="shared" si="3"/>
        <v>0</v>
      </c>
      <c r="J23" s="7">
        <f t="shared" si="4"/>
        <v>0</v>
      </c>
      <c r="K23" s="7">
        <f t="shared" si="5"/>
        <v>0</v>
      </c>
      <c r="L23" s="7">
        <f t="shared" si="6"/>
        <v>0</v>
      </c>
      <c r="M23" s="7">
        <f t="shared" si="7"/>
        <v>0</v>
      </c>
      <c r="N23" s="7">
        <f t="shared" si="8"/>
        <v>0</v>
      </c>
      <c r="O23" s="502" t="str">
        <f t="shared" si="11"/>
        <v>paramChallengeProd2CloudAdoption</v>
      </c>
      <c r="P23" s="7">
        <f>COUNTIF(adj!$C16:$C324,$A23)</f>
        <v>0</v>
      </c>
      <c r="R23" s="7">
        <f>SUMIF(adj!$C$3:$C$311,$A23,adj!E$3:E$311)</f>
        <v>0</v>
      </c>
      <c r="S23" s="7">
        <f>SUMIF(adj!$C$3:$C$311,$A23,adj!F$3:F$311)</f>
        <v>0</v>
      </c>
      <c r="T23" s="7">
        <f>SUMIF(adj!$C$3:$C$311,$A23,adj!G$3:G$311)</f>
        <v>0</v>
      </c>
      <c r="U23" s="7">
        <f>SUMIF(adj!$C$3:$C$311,$A23,adj!H$3:H$311)</f>
        <v>0</v>
      </c>
      <c r="V23" s="7">
        <f>SUMIF(adj!$C$3:$C$311,$A23,adj!I$3:I$311)</f>
        <v>0</v>
      </c>
      <c r="W23" s="7">
        <f>SUMIF(adj!$C$3:$C$311,$A23,adj!J$3:J$311)</f>
        <v>0</v>
      </c>
      <c r="X23" s="7">
        <f>SUMIF(adj!$C$3:$C$311,$A23,adj!K$3:K$311)</f>
        <v>0</v>
      </c>
      <c r="Y23" s="7">
        <f>SUMIF(adj!$C$3:$C$311,$A23,adj!L$3:L$311)</f>
        <v>0</v>
      </c>
      <c r="Z23" s="7">
        <f>SUMIF(adj!$C$3:$C$311,$A23,adj!M$3:M$311)</f>
        <v>0</v>
      </c>
      <c r="AA23" s="7">
        <f>SUMIF(adj!$C$3:$C$311,$A23,adj!N$3:N$311)</f>
        <v>0</v>
      </c>
      <c r="AB23" s="7">
        <f>SUMIF(adj!$C$3:$C$311,$A23,adj!O$3:O$311)</f>
        <v>0</v>
      </c>
    </row>
    <row r="24" spans="1:28">
      <c r="A24" s="137" t="s">
        <v>2440</v>
      </c>
      <c r="B24" s="137" t="str">
        <f>nmProd3Seg3&amp;" Revenue"</f>
        <v>Personal Computing Consumer Revenue</v>
      </c>
      <c r="C24" s="135" t="s">
        <v>260</v>
      </c>
      <c r="D24" s="135">
        <v>0</v>
      </c>
      <c r="E24" s="7">
        <f t="shared" si="10"/>
        <v>0</v>
      </c>
      <c r="F24" s="7">
        <f t="shared" si="0"/>
        <v>0</v>
      </c>
      <c r="G24" s="7">
        <f t="shared" si="1"/>
        <v>0</v>
      </c>
      <c r="H24" s="7">
        <f t="shared" si="2"/>
        <v>0</v>
      </c>
      <c r="I24" s="7">
        <f t="shared" si="3"/>
        <v>0</v>
      </c>
      <c r="J24" s="7">
        <f t="shared" si="4"/>
        <v>0</v>
      </c>
      <c r="K24" s="7">
        <f t="shared" si="5"/>
        <v>0</v>
      </c>
      <c r="L24" s="7">
        <f t="shared" si="6"/>
        <v>0</v>
      </c>
      <c r="M24" s="7">
        <f t="shared" si="7"/>
        <v>0</v>
      </c>
      <c r="N24" s="7">
        <f t="shared" si="8"/>
        <v>0</v>
      </c>
      <c r="O24" s="502" t="str">
        <f t="shared" si="11"/>
        <v>paramChallengeProd3Seg3Revenue</v>
      </c>
      <c r="P24" s="7">
        <f>COUNTIF(adj!$C17:$C325,$A24)</f>
        <v>2</v>
      </c>
      <c r="R24" s="7">
        <f>SUMIF(adj!$C$3:$C$311,$A24,adj!E$3:E$311)</f>
        <v>0</v>
      </c>
      <c r="S24" s="7">
        <f>SUMIF(adj!$C$3:$C$311,$A24,adj!F$3:F$311)</f>
        <v>0</v>
      </c>
      <c r="T24" s="7">
        <f>SUMIF(adj!$C$3:$C$311,$A24,adj!G$3:G$311)</f>
        <v>0</v>
      </c>
      <c r="U24" s="7">
        <f>SUMIF(adj!$C$3:$C$311,$A24,adj!H$3:H$311)</f>
        <v>0</v>
      </c>
      <c r="V24" s="7">
        <f>SUMIF(adj!$C$3:$C$311,$A24,adj!I$3:I$311)</f>
        <v>0</v>
      </c>
      <c r="W24" s="7">
        <f>SUMIF(adj!$C$3:$C$311,$A24,adj!J$3:J$311)</f>
        <v>0</v>
      </c>
      <c r="X24" s="7">
        <f>SUMIF(adj!$C$3:$C$311,$A24,adj!K$3:K$311)</f>
        <v>0</v>
      </c>
      <c r="Y24" s="7">
        <f>SUMIF(adj!$C$3:$C$311,$A24,adj!L$3:L$311)</f>
        <v>0</v>
      </c>
      <c r="Z24" s="7">
        <f>SUMIF(adj!$C$3:$C$311,$A24,adj!M$3:M$311)</f>
        <v>0</v>
      </c>
      <c r="AA24" s="7">
        <f>SUMIF(adj!$C$3:$C$311,$A24,adj!N$3:N$311)</f>
        <v>0</v>
      </c>
      <c r="AB24" s="7">
        <f>SUMIF(adj!$C$3:$C$311,$A24,adj!O$3:O$311)</f>
        <v>0</v>
      </c>
    </row>
    <row r="25" spans="1:28">
      <c r="A25" s="137" t="s">
        <v>2443</v>
      </c>
      <c r="B25" s="137" t="str">
        <f>nmProd3Seg3&amp;" COGS"</f>
        <v>Personal Computing Consumer COGS</v>
      </c>
      <c r="C25" s="135" t="s">
        <v>260</v>
      </c>
      <c r="D25" s="135">
        <v>0</v>
      </c>
      <c r="E25" s="7">
        <f t="shared" ref="E25:N25" si="23">IF($C25="R",$D25*(1+R25),$D25+R25)</f>
        <v>0</v>
      </c>
      <c r="F25" s="7">
        <f t="shared" si="23"/>
        <v>0</v>
      </c>
      <c r="G25" s="7">
        <f t="shared" si="23"/>
        <v>0</v>
      </c>
      <c r="H25" s="7">
        <f t="shared" si="23"/>
        <v>0</v>
      </c>
      <c r="I25" s="7">
        <f t="shared" si="23"/>
        <v>0</v>
      </c>
      <c r="J25" s="7">
        <f t="shared" si="23"/>
        <v>0</v>
      </c>
      <c r="K25" s="7">
        <f t="shared" si="23"/>
        <v>0</v>
      </c>
      <c r="L25" s="7">
        <f t="shared" si="23"/>
        <v>0</v>
      </c>
      <c r="M25" s="7">
        <f t="shared" si="23"/>
        <v>0</v>
      </c>
      <c r="N25" s="7">
        <f t="shared" si="23"/>
        <v>0</v>
      </c>
      <c r="O25" s="502" t="str">
        <f t="shared" si="11"/>
        <v>paramChallengeProd3Seg3COGS</v>
      </c>
      <c r="P25" s="7">
        <f>COUNTIF(adj!$C18:$C326,$A25)</f>
        <v>2</v>
      </c>
      <c r="R25" s="7">
        <f>SUMIF(adj!$C$3:$C$311,$A25,adj!E$3:E$311)</f>
        <v>0</v>
      </c>
      <c r="S25" s="7">
        <f>SUMIF(adj!$C$3:$C$311,$A25,adj!F$3:F$311)</f>
        <v>0</v>
      </c>
      <c r="T25" s="7">
        <f>SUMIF(adj!$C$3:$C$311,$A25,adj!G$3:G$311)</f>
        <v>0</v>
      </c>
      <c r="U25" s="7">
        <f>SUMIF(adj!$C$3:$C$311,$A25,adj!H$3:H$311)</f>
        <v>0</v>
      </c>
      <c r="V25" s="7">
        <f>SUMIF(adj!$C$3:$C$311,$A25,adj!I$3:I$311)</f>
        <v>0</v>
      </c>
      <c r="W25" s="7">
        <f>SUMIF(adj!$C$3:$C$311,$A25,adj!J$3:J$311)</f>
        <v>0</v>
      </c>
      <c r="X25" s="7">
        <f>SUMIF(adj!$C$3:$C$311,$A25,adj!K$3:K$311)</f>
        <v>0</v>
      </c>
      <c r="Y25" s="7">
        <f>SUMIF(adj!$C$3:$C$311,$A25,adj!L$3:L$311)</f>
        <v>0</v>
      </c>
      <c r="Z25" s="7">
        <f>SUMIF(adj!$C$3:$C$311,$A25,adj!M$3:M$311)</f>
        <v>0</v>
      </c>
      <c r="AA25" s="7">
        <f>SUMIF(adj!$C$3:$C$311,$A25,adj!N$3:N$311)</f>
        <v>0</v>
      </c>
      <c r="AB25" s="7">
        <f>SUMIF(adj!$C$3:$C$311,$A25,adj!O$3:O$311)</f>
        <v>0</v>
      </c>
    </row>
    <row r="26" spans="1:28">
      <c r="A26" s="137" t="s">
        <v>2441</v>
      </c>
      <c r="B26" s="137" t="str">
        <f>nmProd3Offering2</f>
        <v>Devices</v>
      </c>
      <c r="C26" s="135" t="s">
        <v>260</v>
      </c>
      <c r="D26" s="135">
        <v>0</v>
      </c>
      <c r="E26" s="7">
        <f t="shared" si="10"/>
        <v>0</v>
      </c>
      <c r="F26" s="7">
        <f t="shared" si="0"/>
        <v>0</v>
      </c>
      <c r="G26" s="7">
        <f t="shared" si="1"/>
        <v>0</v>
      </c>
      <c r="H26" s="7">
        <f t="shared" si="2"/>
        <v>0</v>
      </c>
      <c r="I26" s="7">
        <f t="shared" si="3"/>
        <v>0</v>
      </c>
      <c r="J26" s="7">
        <f t="shared" si="4"/>
        <v>0</v>
      </c>
      <c r="K26" s="7">
        <f t="shared" si="5"/>
        <v>0</v>
      </c>
      <c r="L26" s="7">
        <f t="shared" si="6"/>
        <v>0</v>
      </c>
      <c r="M26" s="7">
        <f t="shared" si="7"/>
        <v>0</v>
      </c>
      <c r="N26" s="7">
        <f t="shared" si="8"/>
        <v>0</v>
      </c>
      <c r="O26" s="502" t="str">
        <f t="shared" si="11"/>
        <v>paramChallengeProd3Offering2</v>
      </c>
      <c r="P26" s="7">
        <f>COUNTIF(adj!$C21:$C329,$A26)</f>
        <v>0</v>
      </c>
      <c r="R26" s="7">
        <f>SUMIF(adj!$C$3:$C$311,$A26,adj!E$3:E$311)</f>
        <v>0</v>
      </c>
      <c r="S26" s="7">
        <f>SUMIF(adj!$C$3:$C$311,$A26,adj!F$3:F$311)</f>
        <v>0</v>
      </c>
      <c r="T26" s="7">
        <f>SUMIF(adj!$C$3:$C$311,$A26,adj!G$3:G$311)</f>
        <v>0</v>
      </c>
      <c r="U26" s="7">
        <f>SUMIF(adj!$C$3:$C$311,$A26,adj!H$3:H$311)</f>
        <v>0</v>
      </c>
      <c r="V26" s="7">
        <f>SUMIF(adj!$C$3:$C$311,$A26,adj!I$3:I$311)</f>
        <v>0</v>
      </c>
      <c r="W26" s="7">
        <f>SUMIF(adj!$C$3:$C$311,$A26,adj!J$3:J$311)</f>
        <v>0</v>
      </c>
      <c r="X26" s="7">
        <f>SUMIF(adj!$C$3:$C$311,$A26,adj!K$3:K$311)</f>
        <v>0</v>
      </c>
      <c r="Y26" s="7">
        <f>SUMIF(adj!$C$3:$C$311,$A26,adj!L$3:L$311)</f>
        <v>0</v>
      </c>
      <c r="Z26" s="7">
        <f>SUMIF(adj!$C$3:$C$311,$A26,adj!M$3:M$311)</f>
        <v>0</v>
      </c>
      <c r="AA26" s="7">
        <f>SUMIF(adj!$C$3:$C$311,$A26,adj!N$3:N$311)</f>
        <v>0</v>
      </c>
      <c r="AB26" s="7">
        <f>SUMIF(adj!$C$3:$C$311,$A26,adj!O$3:O$311)</f>
        <v>0</v>
      </c>
    </row>
    <row r="27" spans="1:28">
      <c r="A27" s="137" t="s">
        <v>2440</v>
      </c>
      <c r="B27" s="137" t="str">
        <f>nmProd3Seg3&amp;" Revenue"</f>
        <v>Personal Computing Consumer Revenue</v>
      </c>
      <c r="C27" s="135" t="s">
        <v>260</v>
      </c>
      <c r="D27" s="135">
        <v>0</v>
      </c>
      <c r="E27" s="7">
        <f t="shared" si="10"/>
        <v>0</v>
      </c>
      <c r="F27" s="7">
        <f t="shared" si="0"/>
        <v>0</v>
      </c>
      <c r="G27" s="7">
        <f t="shared" si="1"/>
        <v>0</v>
      </c>
      <c r="H27" s="7">
        <f t="shared" si="2"/>
        <v>0</v>
      </c>
      <c r="I27" s="7">
        <f t="shared" si="3"/>
        <v>0</v>
      </c>
      <c r="J27" s="7">
        <f t="shared" si="4"/>
        <v>0</v>
      </c>
      <c r="K27" s="7">
        <f t="shared" si="5"/>
        <v>0</v>
      </c>
      <c r="L27" s="7">
        <f t="shared" si="6"/>
        <v>0</v>
      </c>
      <c r="M27" s="7">
        <f t="shared" si="7"/>
        <v>0</v>
      </c>
      <c r="N27" s="7">
        <f t="shared" si="8"/>
        <v>0</v>
      </c>
      <c r="O27" s="502" t="str">
        <f t="shared" si="11"/>
        <v>paramChallengeProd3Seg3Revenue</v>
      </c>
      <c r="P27" s="7">
        <f>COUNTIF(adj!$C22:$C330,$A27)</f>
        <v>2</v>
      </c>
      <c r="R27" s="7">
        <f>SUMIF(adj!$C$3:$C$311,$A27,adj!E$3:E$311)</f>
        <v>0</v>
      </c>
      <c r="S27" s="7">
        <f>SUMIF(adj!$C$3:$C$311,$A27,adj!F$3:F$311)</f>
        <v>0</v>
      </c>
      <c r="T27" s="7">
        <f>SUMIF(adj!$C$3:$C$311,$A27,adj!G$3:G$311)</f>
        <v>0</v>
      </c>
      <c r="U27" s="7">
        <f>SUMIF(adj!$C$3:$C$311,$A27,adj!H$3:H$311)</f>
        <v>0</v>
      </c>
      <c r="V27" s="7">
        <f>SUMIF(adj!$C$3:$C$311,$A27,adj!I$3:I$311)</f>
        <v>0</v>
      </c>
      <c r="W27" s="7">
        <f>SUMIF(adj!$C$3:$C$311,$A27,adj!J$3:J$311)</f>
        <v>0</v>
      </c>
      <c r="X27" s="7">
        <f>SUMIF(adj!$C$3:$C$311,$A27,adj!K$3:K$311)</f>
        <v>0</v>
      </c>
      <c r="Y27" s="7">
        <f>SUMIF(adj!$C$3:$C$311,$A27,adj!L$3:L$311)</f>
        <v>0</v>
      </c>
      <c r="Z27" s="7">
        <f>SUMIF(adj!$C$3:$C$311,$A27,adj!M$3:M$311)</f>
        <v>0</v>
      </c>
      <c r="AA27" s="7">
        <f>SUMIF(adj!$C$3:$C$311,$A27,adj!N$3:N$311)</f>
        <v>0</v>
      </c>
      <c r="AB27" s="7">
        <f>SUMIF(adj!$C$3:$C$311,$A27,adj!O$3:O$311)</f>
        <v>0</v>
      </c>
    </row>
    <row r="28" spans="1:28">
      <c r="A28" s="137" t="s">
        <v>2442</v>
      </c>
      <c r="B28" s="137" t="s">
        <v>458</v>
      </c>
      <c r="C28" s="135" t="s">
        <v>260</v>
      </c>
      <c r="D28" s="135">
        <v>0</v>
      </c>
      <c r="E28" s="7">
        <f t="shared" si="10"/>
        <v>0</v>
      </c>
      <c r="F28" s="7">
        <f t="shared" si="0"/>
        <v>0</v>
      </c>
      <c r="G28" s="7">
        <f t="shared" si="1"/>
        <v>0</v>
      </c>
      <c r="H28" s="7">
        <f t="shared" si="2"/>
        <v>0</v>
      </c>
      <c r="I28" s="7">
        <f t="shared" si="3"/>
        <v>0</v>
      </c>
      <c r="J28" s="7">
        <f t="shared" si="4"/>
        <v>0</v>
      </c>
      <c r="K28" s="7">
        <f t="shared" si="5"/>
        <v>0</v>
      </c>
      <c r="L28" s="7">
        <f t="shared" si="6"/>
        <v>0</v>
      </c>
      <c r="M28" s="7">
        <f t="shared" si="7"/>
        <v>0</v>
      </c>
      <c r="N28" s="7">
        <f t="shared" si="8"/>
        <v>0</v>
      </c>
      <c r="O28" s="502" t="str">
        <f t="shared" si="11"/>
        <v>paramChallengeCollaboration</v>
      </c>
      <c r="P28" s="7">
        <f>COUNTIF(adj!$C23:$C331,$A28)</f>
        <v>3</v>
      </c>
      <c r="R28" s="7">
        <f>SUMIF(adj!$C$3:$C$311,$A28,adj!E$3:E$311)</f>
        <v>0</v>
      </c>
      <c r="S28" s="7">
        <f>SUMIF(adj!$C$3:$C$311,$A28,adj!F$3:F$311)</f>
        <v>0</v>
      </c>
      <c r="T28" s="7">
        <f>SUMIF(adj!$C$3:$C$311,$A28,adj!G$3:G$311)</f>
        <v>0</v>
      </c>
      <c r="U28" s="7">
        <f>SUMIF(adj!$C$3:$C$311,$A28,adj!H$3:H$311)</f>
        <v>0</v>
      </c>
      <c r="V28" s="7">
        <f>SUMIF(adj!$C$3:$C$311,$A28,adj!I$3:I$311)</f>
        <v>0</v>
      </c>
      <c r="W28" s="7">
        <f>SUMIF(adj!$C$3:$C$311,$A28,adj!J$3:J$311)</f>
        <v>0</v>
      </c>
      <c r="X28" s="7">
        <f>SUMIF(adj!$C$3:$C$311,$A28,adj!K$3:K$311)</f>
        <v>0</v>
      </c>
      <c r="Y28" s="7">
        <f>SUMIF(adj!$C$3:$C$311,$A28,adj!L$3:L$311)</f>
        <v>0</v>
      </c>
      <c r="Z28" s="7">
        <f>SUMIF(adj!$C$3:$C$311,$A28,adj!M$3:M$311)</f>
        <v>0</v>
      </c>
      <c r="AA28" s="7">
        <f>SUMIF(adj!$C$3:$C$311,$A28,adj!N$3:N$311)</f>
        <v>0</v>
      </c>
      <c r="AB28" s="7">
        <f>SUMIF(adj!$C$3:$C$311,$A28,adj!O$3:O$311)</f>
        <v>0</v>
      </c>
    </row>
    <row r="30" spans="1:28">
      <c r="A30" s="6" t="s">
        <v>1452</v>
      </c>
    </row>
    <row r="31" spans="1:28">
      <c r="A31" s="137" t="s">
        <v>1077</v>
      </c>
      <c r="B31" s="137" t="s">
        <v>1073</v>
      </c>
      <c r="C31" s="135" t="s">
        <v>260</v>
      </c>
      <c r="D31" s="487">
        <v>100000</v>
      </c>
      <c r="E31" s="521">
        <f t="shared" ref="E31:E36" si="24">IF($C31="R",$D31*(1+R31),$D31+R31)</f>
        <v>100000</v>
      </c>
      <c r="F31" s="521">
        <f t="shared" ref="F31:F36" si="25">IF($C31="R",$D31*(1+S31),$D31+S31)</f>
        <v>100000</v>
      </c>
      <c r="G31" s="521">
        <f t="shared" ref="G31:G36" si="26">IF($C31="R",$D31*(1+T31),$D31+T31)</f>
        <v>100000</v>
      </c>
      <c r="H31" s="521">
        <f t="shared" ref="H31:H36" si="27">IF($C31="R",$D31*(1+U31),$D31+U31)</f>
        <v>100000</v>
      </c>
      <c r="I31" s="521">
        <f t="shared" ref="I31:I36" si="28">IF($C31="R",$D31*(1+V31),$D31+V31)</f>
        <v>100000</v>
      </c>
      <c r="J31" s="521">
        <f t="shared" ref="J31:J36" si="29">IF($C31="R",$D31*(1+W31),$D31+W31)</f>
        <v>100000</v>
      </c>
      <c r="K31" s="521">
        <f t="shared" ref="K31:K36" si="30">IF($C31="R",$D31*(1+X31),$D31+X31)</f>
        <v>100000</v>
      </c>
      <c r="L31" s="521">
        <f t="shared" ref="L31:L36" si="31">IF($C31="R",$D31*(1+Y31),$D31+Y31)</f>
        <v>100000</v>
      </c>
      <c r="M31" s="521">
        <f t="shared" ref="M31:M36" si="32">IF($C31="R",$D31*(1+Z31),$D31+Z31)</f>
        <v>100000</v>
      </c>
      <c r="N31" s="521">
        <f t="shared" ref="N31:N36" si="33">IF($C31="R",$D31*(1+AA31),$D31+AA31)</f>
        <v>100000</v>
      </c>
      <c r="O31" s="502" t="str">
        <f t="shared" ref="O31:O36" si="34">"param"&amp;A31</f>
        <v>paramDirectSalesSalary</v>
      </c>
      <c r="P31" s="7">
        <f>COUNTIF(adj!$C26:$C334,$A31)</f>
        <v>0</v>
      </c>
      <c r="R31" s="7">
        <f>SUMIF(adj!$C$3:$C$311,$A31,adj!E$3:E$311)</f>
        <v>0</v>
      </c>
      <c r="S31" s="7">
        <f>SUMIF(adj!$C$3:$C$311,$A31,adj!F$3:F$311)</f>
        <v>0</v>
      </c>
      <c r="T31" s="7">
        <f>SUMIF(adj!$C$3:$C$311,$A31,adj!G$3:G$311)</f>
        <v>0</v>
      </c>
      <c r="U31" s="7">
        <f>SUMIF(adj!$C$3:$C$311,$A31,adj!H$3:H$311)</f>
        <v>0</v>
      </c>
      <c r="V31" s="7">
        <f>SUMIF(adj!$C$3:$C$311,$A31,adj!I$3:I$311)</f>
        <v>0</v>
      </c>
      <c r="W31" s="7">
        <f>SUMIF(adj!$C$3:$C$311,$A31,adj!J$3:J$311)</f>
        <v>0</v>
      </c>
      <c r="X31" s="7">
        <f>SUMIF(adj!$C$3:$C$311,$A31,adj!K$3:K$311)</f>
        <v>0</v>
      </c>
      <c r="Y31" s="7">
        <f>SUMIF(adj!$C$3:$C$311,$A31,adj!L$3:L$311)</f>
        <v>0</v>
      </c>
      <c r="Z31" s="7">
        <f>SUMIF(adj!$C$3:$C$311,$A31,adj!M$3:M$311)</f>
        <v>0</v>
      </c>
      <c r="AA31" s="7">
        <f>SUMIF(adj!$C$3:$C$311,$A31,adj!N$3:N$311)</f>
        <v>0</v>
      </c>
      <c r="AB31" s="7">
        <f>SUMIF(adj!$C$3:$C$311,$A31,adj!O$3:O$311)</f>
        <v>0</v>
      </c>
    </row>
    <row r="32" spans="1:28">
      <c r="A32" s="137" t="s">
        <v>1078</v>
      </c>
      <c r="B32" s="137" t="s">
        <v>1074</v>
      </c>
      <c r="C32" s="135" t="s">
        <v>260</v>
      </c>
      <c r="D32" s="487">
        <v>80000</v>
      </c>
      <c r="E32" s="521">
        <f t="shared" si="24"/>
        <v>80000</v>
      </c>
      <c r="F32" s="521">
        <f t="shared" si="25"/>
        <v>80000</v>
      </c>
      <c r="G32" s="521">
        <f t="shared" si="26"/>
        <v>80000</v>
      </c>
      <c r="H32" s="521">
        <f t="shared" si="27"/>
        <v>80000</v>
      </c>
      <c r="I32" s="521">
        <f t="shared" si="28"/>
        <v>80000</v>
      </c>
      <c r="J32" s="521">
        <f t="shared" si="29"/>
        <v>80000</v>
      </c>
      <c r="K32" s="521">
        <f t="shared" si="30"/>
        <v>80000</v>
      </c>
      <c r="L32" s="521">
        <f t="shared" si="31"/>
        <v>80000</v>
      </c>
      <c r="M32" s="521">
        <f t="shared" si="32"/>
        <v>80000</v>
      </c>
      <c r="N32" s="521">
        <f t="shared" si="33"/>
        <v>80000</v>
      </c>
      <c r="O32" s="502" t="str">
        <f t="shared" si="34"/>
        <v>paramInsideSalesSalary</v>
      </c>
      <c r="P32" s="7">
        <f>COUNTIF(adj!$C27:$C335,$A32)</f>
        <v>0</v>
      </c>
      <c r="R32" s="7">
        <f>SUMIF(adj!$C$3:$C$311,$A32,adj!E$3:E$311)</f>
        <v>0</v>
      </c>
      <c r="S32" s="7">
        <f>SUMIF(adj!$C$3:$C$311,$A32,adj!F$3:F$311)</f>
        <v>0</v>
      </c>
      <c r="T32" s="7">
        <f>SUMIF(adj!$C$3:$C$311,$A32,adj!G$3:G$311)</f>
        <v>0</v>
      </c>
      <c r="U32" s="7">
        <f>SUMIF(adj!$C$3:$C$311,$A32,adj!H$3:H$311)</f>
        <v>0</v>
      </c>
      <c r="V32" s="7">
        <f>SUMIF(adj!$C$3:$C$311,$A32,adj!I$3:I$311)</f>
        <v>0</v>
      </c>
      <c r="W32" s="7">
        <f>SUMIF(adj!$C$3:$C$311,$A32,adj!J$3:J$311)</f>
        <v>0</v>
      </c>
      <c r="X32" s="7">
        <f>SUMIF(adj!$C$3:$C$311,$A32,adj!K$3:K$311)</f>
        <v>0</v>
      </c>
      <c r="Y32" s="7">
        <f>SUMIF(adj!$C$3:$C$311,$A32,adj!L$3:L$311)</f>
        <v>0</v>
      </c>
      <c r="Z32" s="7">
        <f>SUMIF(adj!$C$3:$C$311,$A32,adj!M$3:M$311)</f>
        <v>0</v>
      </c>
      <c r="AA32" s="7">
        <f>SUMIF(adj!$C$3:$C$311,$A32,adj!N$3:N$311)</f>
        <v>0</v>
      </c>
      <c r="AB32" s="7">
        <f>SUMIF(adj!$C$3:$C$311,$A32,adj!O$3:O$311)</f>
        <v>0</v>
      </c>
    </row>
    <row r="33" spans="1:28">
      <c r="A33" s="137" t="s">
        <v>1079</v>
      </c>
      <c r="B33" s="137" t="s">
        <v>1075</v>
      </c>
      <c r="C33" s="135" t="s">
        <v>260</v>
      </c>
      <c r="D33" s="487">
        <v>100000</v>
      </c>
      <c r="E33" s="521">
        <f t="shared" si="24"/>
        <v>100000</v>
      </c>
      <c r="F33" s="521">
        <f t="shared" si="25"/>
        <v>100000</v>
      </c>
      <c r="G33" s="521">
        <f t="shared" si="26"/>
        <v>100000</v>
      </c>
      <c r="H33" s="521">
        <f t="shared" si="27"/>
        <v>100000</v>
      </c>
      <c r="I33" s="521">
        <f t="shared" si="28"/>
        <v>100000</v>
      </c>
      <c r="J33" s="521">
        <f t="shared" si="29"/>
        <v>100000</v>
      </c>
      <c r="K33" s="521">
        <f t="shared" si="30"/>
        <v>100000</v>
      </c>
      <c r="L33" s="521">
        <f t="shared" si="31"/>
        <v>100000</v>
      </c>
      <c r="M33" s="521">
        <f t="shared" si="32"/>
        <v>100000</v>
      </c>
      <c r="N33" s="521">
        <f t="shared" si="33"/>
        <v>100000</v>
      </c>
      <c r="O33" s="502" t="str">
        <f t="shared" si="34"/>
        <v>paramServicesSalary</v>
      </c>
      <c r="P33" s="7">
        <f>COUNTIF(adj!$C28:$C336,$A33)</f>
        <v>0</v>
      </c>
      <c r="R33" s="7">
        <f>SUMIF(adj!$C$3:$C$311,$A33,adj!E$3:E$311)</f>
        <v>0</v>
      </c>
      <c r="S33" s="7">
        <f>SUMIF(adj!$C$3:$C$311,$A33,adj!F$3:F$311)</f>
        <v>0</v>
      </c>
      <c r="T33" s="7">
        <f>SUMIF(adj!$C$3:$C$311,$A33,adj!G$3:G$311)</f>
        <v>0</v>
      </c>
      <c r="U33" s="7">
        <f>SUMIF(adj!$C$3:$C$311,$A33,adj!H$3:H$311)</f>
        <v>0</v>
      </c>
      <c r="V33" s="7">
        <f>SUMIF(adj!$C$3:$C$311,$A33,adj!I$3:I$311)</f>
        <v>0</v>
      </c>
      <c r="W33" s="7">
        <f>SUMIF(adj!$C$3:$C$311,$A33,adj!J$3:J$311)</f>
        <v>0</v>
      </c>
      <c r="X33" s="7">
        <f>SUMIF(adj!$C$3:$C$311,$A33,adj!K$3:K$311)</f>
        <v>0</v>
      </c>
      <c r="Y33" s="7">
        <f>SUMIF(adj!$C$3:$C$311,$A33,adj!L$3:L$311)</f>
        <v>0</v>
      </c>
      <c r="Z33" s="7">
        <f>SUMIF(adj!$C$3:$C$311,$A33,adj!M$3:M$311)</f>
        <v>0</v>
      </c>
      <c r="AA33" s="7">
        <f>SUMIF(adj!$C$3:$C$311,$A33,adj!N$3:N$311)</f>
        <v>0</v>
      </c>
      <c r="AB33" s="7">
        <f>SUMIF(adj!$C$3:$C$311,$A33,adj!O$3:O$311)</f>
        <v>0</v>
      </c>
    </row>
    <row r="34" spans="1:28">
      <c r="A34" s="137" t="s">
        <v>1083</v>
      </c>
      <c r="B34" s="137" t="s">
        <v>1082</v>
      </c>
      <c r="C34" s="135" t="s">
        <v>260</v>
      </c>
      <c r="D34" s="487">
        <v>80000</v>
      </c>
      <c r="E34" s="521">
        <f t="shared" si="24"/>
        <v>80000</v>
      </c>
      <c r="F34" s="521">
        <f t="shared" si="25"/>
        <v>80000</v>
      </c>
      <c r="G34" s="521">
        <f t="shared" si="26"/>
        <v>80000</v>
      </c>
      <c r="H34" s="521">
        <f t="shared" si="27"/>
        <v>80000</v>
      </c>
      <c r="I34" s="521">
        <f t="shared" si="28"/>
        <v>80000</v>
      </c>
      <c r="J34" s="521">
        <f t="shared" si="29"/>
        <v>80000</v>
      </c>
      <c r="K34" s="521">
        <f t="shared" si="30"/>
        <v>80000</v>
      </c>
      <c r="L34" s="521">
        <f t="shared" si="31"/>
        <v>80000</v>
      </c>
      <c r="M34" s="521">
        <f t="shared" si="32"/>
        <v>80000</v>
      </c>
      <c r="N34" s="521">
        <f t="shared" si="33"/>
        <v>80000</v>
      </c>
      <c r="O34" s="502" t="str">
        <f t="shared" si="34"/>
        <v>paramOperationsSalary</v>
      </c>
      <c r="P34" s="7">
        <f>COUNTIF(adj!$C29:$C337,$A34)</f>
        <v>0</v>
      </c>
      <c r="R34" s="7">
        <f>SUMIF(adj!$C$3:$C$311,$A34,adj!E$3:E$311)</f>
        <v>0</v>
      </c>
      <c r="S34" s="7">
        <f>SUMIF(adj!$C$3:$C$311,$A34,adj!F$3:F$311)</f>
        <v>0</v>
      </c>
      <c r="T34" s="7">
        <f>SUMIF(adj!$C$3:$C$311,$A34,adj!G$3:G$311)</f>
        <v>0</v>
      </c>
      <c r="U34" s="7">
        <f>SUMIF(adj!$C$3:$C$311,$A34,adj!H$3:H$311)</f>
        <v>0</v>
      </c>
      <c r="V34" s="7">
        <f>SUMIF(adj!$C$3:$C$311,$A34,adj!I$3:I$311)</f>
        <v>0</v>
      </c>
      <c r="W34" s="7">
        <f>SUMIF(adj!$C$3:$C$311,$A34,adj!J$3:J$311)</f>
        <v>0</v>
      </c>
      <c r="X34" s="7">
        <f>SUMIF(adj!$C$3:$C$311,$A34,adj!K$3:K$311)</f>
        <v>0</v>
      </c>
      <c r="Y34" s="7">
        <f>SUMIF(adj!$C$3:$C$311,$A34,adj!L$3:L$311)</f>
        <v>0</v>
      </c>
      <c r="Z34" s="7">
        <f>SUMIF(adj!$C$3:$C$311,$A34,adj!M$3:M$311)</f>
        <v>0</v>
      </c>
      <c r="AA34" s="7">
        <f>SUMIF(adj!$C$3:$C$311,$A34,adj!N$3:N$311)</f>
        <v>0</v>
      </c>
      <c r="AB34" s="7">
        <f>SUMIF(adj!$C$3:$C$311,$A34,adj!O$3:O$311)</f>
        <v>0</v>
      </c>
    </row>
    <row r="35" spans="1:28">
      <c r="A35" s="137" t="s">
        <v>1586</v>
      </c>
      <c r="B35" s="137" t="s">
        <v>1587</v>
      </c>
      <c r="C35" s="135" t="s">
        <v>260</v>
      </c>
      <c r="D35" s="487">
        <v>100000</v>
      </c>
      <c r="E35" s="521">
        <f t="shared" si="24"/>
        <v>100000</v>
      </c>
      <c r="F35" s="521">
        <f t="shared" si="25"/>
        <v>100000</v>
      </c>
      <c r="G35" s="521">
        <f t="shared" si="26"/>
        <v>100000</v>
      </c>
      <c r="H35" s="521">
        <f t="shared" si="27"/>
        <v>100000</v>
      </c>
      <c r="I35" s="521">
        <f t="shared" si="28"/>
        <v>100000</v>
      </c>
      <c r="J35" s="521">
        <f t="shared" si="29"/>
        <v>100000</v>
      </c>
      <c r="K35" s="521">
        <f t="shared" si="30"/>
        <v>100000</v>
      </c>
      <c r="L35" s="521">
        <f t="shared" si="31"/>
        <v>100000</v>
      </c>
      <c r="M35" s="521">
        <f t="shared" si="32"/>
        <v>100000</v>
      </c>
      <c r="N35" s="521">
        <f t="shared" si="33"/>
        <v>100000</v>
      </c>
      <c r="O35" s="502" t="str">
        <f t="shared" si="34"/>
        <v>paramPartnerSalary</v>
      </c>
      <c r="P35" s="7">
        <f>COUNTIF(adj!$C30:$C338,$A35)</f>
        <v>0</v>
      </c>
      <c r="R35" s="7">
        <f>SUMIF(adj!$C$3:$C$311,$A35,adj!E$3:E$311)</f>
        <v>0</v>
      </c>
      <c r="S35" s="7">
        <f>SUMIF(adj!$C$3:$C$311,$A35,adj!F$3:F$311)</f>
        <v>0</v>
      </c>
      <c r="T35" s="7">
        <f>SUMIF(adj!$C$3:$C$311,$A35,adj!G$3:G$311)</f>
        <v>0</v>
      </c>
      <c r="U35" s="7">
        <f>SUMIF(adj!$C$3:$C$311,$A35,adj!H$3:H$311)</f>
        <v>0</v>
      </c>
      <c r="V35" s="7">
        <f>SUMIF(adj!$C$3:$C$311,$A35,adj!I$3:I$311)</f>
        <v>0</v>
      </c>
      <c r="W35" s="7">
        <f>SUMIF(adj!$C$3:$C$311,$A35,adj!J$3:J$311)</f>
        <v>0</v>
      </c>
      <c r="X35" s="7">
        <f>SUMIF(adj!$C$3:$C$311,$A35,adj!K$3:K$311)</f>
        <v>0</v>
      </c>
      <c r="Y35" s="7">
        <f>SUMIF(adj!$C$3:$C$311,$A35,adj!L$3:L$311)</f>
        <v>0</v>
      </c>
      <c r="Z35" s="7">
        <f>SUMIF(adj!$C$3:$C$311,$A35,adj!M$3:M$311)</f>
        <v>0</v>
      </c>
      <c r="AA35" s="7">
        <f>SUMIF(adj!$C$3:$C$311,$A35,adj!N$3:N$311)</f>
        <v>0</v>
      </c>
      <c r="AB35" s="7">
        <f>SUMIF(adj!$C$3:$C$311,$A35,adj!O$3:O$311)</f>
        <v>0</v>
      </c>
    </row>
    <row r="36" spans="1:28">
      <c r="A36" s="137" t="s">
        <v>1084</v>
      </c>
      <c r="B36" s="137" t="s">
        <v>1080</v>
      </c>
      <c r="C36" s="135" t="s">
        <v>260</v>
      </c>
      <c r="D36" s="487">
        <v>70000</v>
      </c>
      <c r="E36" s="521">
        <f t="shared" si="24"/>
        <v>70000</v>
      </c>
      <c r="F36" s="521">
        <f t="shared" si="25"/>
        <v>70000</v>
      </c>
      <c r="G36" s="521">
        <f t="shared" si="26"/>
        <v>70000</v>
      </c>
      <c r="H36" s="521">
        <f t="shared" si="27"/>
        <v>70000</v>
      </c>
      <c r="I36" s="521">
        <f t="shared" si="28"/>
        <v>70000</v>
      </c>
      <c r="J36" s="521">
        <f t="shared" si="29"/>
        <v>70000</v>
      </c>
      <c r="K36" s="521">
        <f t="shared" si="30"/>
        <v>70000</v>
      </c>
      <c r="L36" s="521">
        <f t="shared" si="31"/>
        <v>70000</v>
      </c>
      <c r="M36" s="521">
        <f t="shared" si="32"/>
        <v>70000</v>
      </c>
      <c r="N36" s="521">
        <f t="shared" si="33"/>
        <v>70000</v>
      </c>
      <c r="O36" s="502" t="str">
        <f t="shared" si="34"/>
        <v>paramUnallocatedSalary</v>
      </c>
      <c r="P36" s="7">
        <f>COUNTIF(adj!$C31:$C339,$A36)</f>
        <v>0</v>
      </c>
      <c r="R36" s="7">
        <f>SUMIF(adj!$C$3:$C$311,$A36,adj!E$3:E$311)</f>
        <v>0</v>
      </c>
      <c r="S36" s="7">
        <f>SUMIF(adj!$C$3:$C$311,$A36,adj!F$3:F$311)</f>
        <v>0</v>
      </c>
      <c r="T36" s="7">
        <f>SUMIF(adj!$C$3:$C$311,$A36,adj!G$3:G$311)</f>
        <v>0</v>
      </c>
      <c r="U36" s="7">
        <f>SUMIF(adj!$C$3:$C$311,$A36,adj!H$3:H$311)</f>
        <v>0</v>
      </c>
      <c r="V36" s="7">
        <f>SUMIF(adj!$C$3:$C$311,$A36,adj!I$3:I$311)</f>
        <v>0</v>
      </c>
      <c r="W36" s="7">
        <f>SUMIF(adj!$C$3:$C$311,$A36,adj!J$3:J$311)</f>
        <v>0</v>
      </c>
      <c r="X36" s="7">
        <f>SUMIF(adj!$C$3:$C$311,$A36,adj!K$3:K$311)</f>
        <v>0</v>
      </c>
      <c r="Y36" s="7">
        <f>SUMIF(adj!$C$3:$C$311,$A36,adj!L$3:L$311)</f>
        <v>0</v>
      </c>
      <c r="Z36" s="7">
        <f>SUMIF(adj!$C$3:$C$311,$A36,adj!M$3:M$311)</f>
        <v>0</v>
      </c>
      <c r="AA36" s="7">
        <f>SUMIF(adj!$C$3:$C$311,$A36,adj!N$3:N$311)</f>
        <v>0</v>
      </c>
      <c r="AB36" s="7">
        <f>SUMIF(adj!$C$3:$C$311,$A36,adj!O$3:O$311)</f>
        <v>0</v>
      </c>
    </row>
    <row r="38" spans="1:28">
      <c r="A38" s="6" t="s">
        <v>203</v>
      </c>
    </row>
    <row r="39" spans="1:28">
      <c r="A39" s="137" t="s">
        <v>1453</v>
      </c>
      <c r="B39" s="137" t="str">
        <f>nmProd1&amp;" COGS Per Unit"</f>
        <v>Productivity &amp; Business COGS Per Unit</v>
      </c>
      <c r="C39" s="135" t="s">
        <v>2923</v>
      </c>
      <c r="D39" s="584">
        <f>dataProd1Price*0.2</f>
        <v>3</v>
      </c>
      <c r="E39" s="1258">
        <f t="shared" ref="E39:E47" si="35">IF($C39="R",$D39*(1+R39),$D39+R39)</f>
        <v>3</v>
      </c>
      <c r="F39" s="1258">
        <f t="shared" ref="F39:F47" si="36">IF($C39="R",$D39*(1+S39),$D39+S39)</f>
        <v>3</v>
      </c>
      <c r="G39" s="1258">
        <f t="shared" ref="G39:G47" si="37">IF($C39="R",$D39*(1+T39),$D39+T39)</f>
        <v>3</v>
      </c>
      <c r="H39" s="1258">
        <f t="shared" ref="H39:H47" si="38">IF($C39="R",$D39*(1+U39),$D39+U39)</f>
        <v>3</v>
      </c>
      <c r="I39" s="1258">
        <f t="shared" ref="I39:I47" si="39">IF($C39="R",$D39*(1+V39),$D39+V39)</f>
        <v>3</v>
      </c>
      <c r="J39" s="1258">
        <f t="shared" ref="J39:J47" si="40">IF($C39="R",$D39*(1+W39),$D39+W39)</f>
        <v>3</v>
      </c>
      <c r="K39" s="1258">
        <f t="shared" ref="K39:K47" si="41">IF($C39="R",$D39*(1+X39),$D39+X39)</f>
        <v>3</v>
      </c>
      <c r="L39" s="1258">
        <f t="shared" ref="L39:L47" si="42">IF($C39="R",$D39*(1+Y39),$D39+Y39)</f>
        <v>3</v>
      </c>
      <c r="M39" s="1258">
        <f t="shared" ref="M39:M47" si="43">IF($C39="R",$D39*(1+Z39),$D39+Z39)</f>
        <v>3</v>
      </c>
      <c r="N39" s="1258">
        <f t="shared" ref="N39:N47" si="44">IF($C39="R",$D39*(1+AA39),$D39+AA39)</f>
        <v>3</v>
      </c>
      <c r="O39" s="502" t="str">
        <f t="shared" ref="O39:O47" si="45">"param"&amp;A39</f>
        <v>paramProd1COGSPNewUnit</v>
      </c>
      <c r="P39" s="7">
        <f>COUNTIF(adj!$C34:$C342,$A39)</f>
        <v>0</v>
      </c>
      <c r="R39" s="7">
        <f>SUMIF(adj!$C$3:$C$311,$A39,adj!E$3:E$311)</f>
        <v>0</v>
      </c>
      <c r="S39" s="7">
        <f>SUMIF(adj!$C$3:$C$311,$A39,adj!F$3:F$311)</f>
        <v>0</v>
      </c>
      <c r="T39" s="7">
        <f>SUMIF(adj!$C$3:$C$311,$A39,adj!G$3:G$311)</f>
        <v>0</v>
      </c>
      <c r="U39" s="7">
        <f>SUMIF(adj!$C$3:$C$311,$A39,adj!H$3:H$311)</f>
        <v>0</v>
      </c>
      <c r="V39" s="7">
        <f>SUMIF(adj!$C$3:$C$311,$A39,adj!I$3:I$311)</f>
        <v>0</v>
      </c>
      <c r="W39" s="7">
        <f>SUMIF(adj!$C$3:$C$311,$A39,adj!J$3:J$311)</f>
        <v>0</v>
      </c>
      <c r="X39" s="7">
        <f>SUMIF(adj!$C$3:$C$311,$A39,adj!K$3:K$311)</f>
        <v>0</v>
      </c>
      <c r="Y39" s="7">
        <f>SUMIF(adj!$C$3:$C$311,$A39,adj!L$3:L$311)</f>
        <v>0</v>
      </c>
      <c r="Z39" s="7">
        <f>SUMIF(adj!$C$3:$C$311,$A39,adj!M$3:M$311)</f>
        <v>0</v>
      </c>
      <c r="AA39" s="7">
        <f>SUMIF(adj!$C$3:$C$311,$A39,adj!N$3:N$311)</f>
        <v>0</v>
      </c>
      <c r="AB39" s="7">
        <f>SUMIF(adj!$C$3:$C$311,$A39,adj!O$3:O$311)</f>
        <v>0</v>
      </c>
    </row>
    <row r="40" spans="1:28">
      <c r="A40" s="137" t="s">
        <v>1454</v>
      </c>
      <c r="B40" s="137" t="str">
        <f>nmProd2&amp;" COGS Per Unit"</f>
        <v>Intelligent Cloud COGS Per Unit</v>
      </c>
      <c r="C40" s="135" t="s">
        <v>2923</v>
      </c>
      <c r="D40" s="584">
        <f>dataProd2Price*0.19</f>
        <v>9.5</v>
      </c>
      <c r="E40" s="1258">
        <f t="shared" si="35"/>
        <v>9.5</v>
      </c>
      <c r="F40" s="1258">
        <f t="shared" si="36"/>
        <v>9.5</v>
      </c>
      <c r="G40" s="1258">
        <f t="shared" si="37"/>
        <v>9.5</v>
      </c>
      <c r="H40" s="1258">
        <f t="shared" si="38"/>
        <v>9.5</v>
      </c>
      <c r="I40" s="1258">
        <f t="shared" si="39"/>
        <v>9.5</v>
      </c>
      <c r="J40" s="1258">
        <f t="shared" si="40"/>
        <v>9.5</v>
      </c>
      <c r="K40" s="1258">
        <f t="shared" si="41"/>
        <v>9.5</v>
      </c>
      <c r="L40" s="1258">
        <f t="shared" si="42"/>
        <v>9.5</v>
      </c>
      <c r="M40" s="1258">
        <f t="shared" si="43"/>
        <v>9.5</v>
      </c>
      <c r="N40" s="1258">
        <f t="shared" si="44"/>
        <v>9.5</v>
      </c>
      <c r="O40" s="502" t="str">
        <f t="shared" si="45"/>
        <v>paramProd2COGSPNewUnit</v>
      </c>
      <c r="P40" s="7">
        <f>COUNTIF(adj!$C35:$C343,$A40)</f>
        <v>0</v>
      </c>
      <c r="R40" s="7">
        <f>SUMIF(adj!$C$3:$C$311,$A40,adj!E$3:E$311)</f>
        <v>0</v>
      </c>
      <c r="S40" s="7">
        <f>SUMIF(adj!$C$3:$C$311,$A40,adj!F$3:F$311)</f>
        <v>0</v>
      </c>
      <c r="T40" s="7">
        <f>SUMIF(adj!$C$3:$C$311,$A40,adj!G$3:G$311)</f>
        <v>0</v>
      </c>
      <c r="U40" s="7">
        <f>SUMIF(adj!$C$3:$C$311,$A40,adj!H$3:H$311)</f>
        <v>0</v>
      </c>
      <c r="V40" s="7">
        <f>SUMIF(adj!$C$3:$C$311,$A40,adj!I$3:I$311)</f>
        <v>0</v>
      </c>
      <c r="W40" s="7">
        <f>SUMIF(adj!$C$3:$C$311,$A40,adj!J$3:J$311)</f>
        <v>0</v>
      </c>
      <c r="X40" s="7">
        <f>SUMIF(adj!$C$3:$C$311,$A40,adj!K$3:K$311)</f>
        <v>0</v>
      </c>
      <c r="Y40" s="7">
        <f>SUMIF(adj!$C$3:$C$311,$A40,adj!L$3:L$311)</f>
        <v>0</v>
      </c>
      <c r="Z40" s="7">
        <f>SUMIF(adj!$C$3:$C$311,$A40,adj!M$3:M$311)</f>
        <v>0</v>
      </c>
      <c r="AA40" s="7">
        <f>SUMIF(adj!$C$3:$C$311,$A40,adj!N$3:N$311)</f>
        <v>0</v>
      </c>
      <c r="AB40" s="7">
        <f>SUMIF(adj!$C$3:$C$311,$A40,adj!O$3:O$311)</f>
        <v>0</v>
      </c>
    </row>
    <row r="41" spans="1:28">
      <c r="A41" s="137" t="s">
        <v>1455</v>
      </c>
      <c r="B41" s="137" t="str">
        <f>nmProd1&amp;" COGS Per Unit"</f>
        <v>Productivity &amp; Business COGS Per Unit</v>
      </c>
      <c r="C41" s="135" t="s">
        <v>2923</v>
      </c>
      <c r="D41" s="584">
        <f>dataProd1Price*0.18</f>
        <v>2.6999999999999997</v>
      </c>
      <c r="E41" s="1258">
        <f t="shared" si="35"/>
        <v>2.6999999999999997</v>
      </c>
      <c r="F41" s="1258">
        <f t="shared" si="36"/>
        <v>2.6999999999999997</v>
      </c>
      <c r="G41" s="1258">
        <f t="shared" si="37"/>
        <v>2.6999999999999997</v>
      </c>
      <c r="H41" s="1258">
        <f t="shared" si="38"/>
        <v>2.6999999999999997</v>
      </c>
      <c r="I41" s="1258">
        <f t="shared" si="39"/>
        <v>2.6999999999999997</v>
      </c>
      <c r="J41" s="1258">
        <f t="shared" si="40"/>
        <v>2.6999999999999997</v>
      </c>
      <c r="K41" s="1258">
        <f t="shared" si="41"/>
        <v>2.6999999999999997</v>
      </c>
      <c r="L41" s="1258">
        <f t="shared" si="42"/>
        <v>2.6999999999999997</v>
      </c>
      <c r="M41" s="1258">
        <f t="shared" si="43"/>
        <v>2.6999999999999997</v>
      </c>
      <c r="N41" s="1258">
        <f t="shared" si="44"/>
        <v>2.6999999999999997</v>
      </c>
      <c r="O41" s="502" t="str">
        <f t="shared" si="45"/>
        <v>paramProd1COGSPRenewalUnit</v>
      </c>
      <c r="P41" s="7">
        <f>COUNTIF(adj!$C36:$C344,$A41)</f>
        <v>0</v>
      </c>
      <c r="R41" s="7">
        <f>SUMIF(adj!$C$3:$C$311,$A41,adj!E$3:E$311)</f>
        <v>0</v>
      </c>
      <c r="S41" s="7">
        <f>SUMIF(adj!$C$3:$C$311,$A41,adj!F$3:F$311)</f>
        <v>0</v>
      </c>
      <c r="T41" s="7">
        <f>SUMIF(adj!$C$3:$C$311,$A41,adj!G$3:G$311)</f>
        <v>0</v>
      </c>
      <c r="U41" s="7">
        <f>SUMIF(adj!$C$3:$C$311,$A41,adj!H$3:H$311)</f>
        <v>0</v>
      </c>
      <c r="V41" s="7">
        <f>SUMIF(adj!$C$3:$C$311,$A41,adj!I$3:I$311)</f>
        <v>0</v>
      </c>
      <c r="W41" s="7">
        <f>SUMIF(adj!$C$3:$C$311,$A41,adj!J$3:J$311)</f>
        <v>0</v>
      </c>
      <c r="X41" s="7">
        <f>SUMIF(adj!$C$3:$C$311,$A41,adj!K$3:K$311)</f>
        <v>0</v>
      </c>
      <c r="Y41" s="7">
        <f>SUMIF(adj!$C$3:$C$311,$A41,adj!L$3:L$311)</f>
        <v>0</v>
      </c>
      <c r="Z41" s="7">
        <f>SUMIF(adj!$C$3:$C$311,$A41,adj!M$3:M$311)</f>
        <v>0</v>
      </c>
      <c r="AA41" s="7">
        <f>SUMIF(adj!$C$3:$C$311,$A41,adj!N$3:N$311)</f>
        <v>0</v>
      </c>
      <c r="AB41" s="7">
        <f>SUMIF(adj!$C$3:$C$311,$A41,adj!O$3:O$311)</f>
        <v>0</v>
      </c>
    </row>
    <row r="42" spans="1:28">
      <c r="A42" s="137" t="s">
        <v>1456</v>
      </c>
      <c r="B42" s="137" t="str">
        <f>nmProd2&amp;" COGS Per Unit"</f>
        <v>Intelligent Cloud COGS Per Unit</v>
      </c>
      <c r="C42" s="135" t="s">
        <v>2923</v>
      </c>
      <c r="D42" s="584">
        <f>dataProd2Price*0.17</f>
        <v>8.5</v>
      </c>
      <c r="E42" s="1258">
        <f t="shared" si="35"/>
        <v>8.5</v>
      </c>
      <c r="F42" s="1258">
        <f t="shared" si="36"/>
        <v>8.5</v>
      </c>
      <c r="G42" s="1258">
        <f t="shared" si="37"/>
        <v>8.5</v>
      </c>
      <c r="H42" s="1258">
        <f t="shared" si="38"/>
        <v>8.5</v>
      </c>
      <c r="I42" s="1258">
        <f t="shared" si="39"/>
        <v>8.5</v>
      </c>
      <c r="J42" s="1258">
        <f t="shared" si="40"/>
        <v>8.5</v>
      </c>
      <c r="K42" s="1258">
        <f t="shared" si="41"/>
        <v>8.5</v>
      </c>
      <c r="L42" s="1258">
        <f t="shared" si="42"/>
        <v>8.5</v>
      </c>
      <c r="M42" s="1258">
        <f t="shared" si="43"/>
        <v>8.5</v>
      </c>
      <c r="N42" s="1258">
        <f t="shared" si="44"/>
        <v>8.5</v>
      </c>
      <c r="O42" s="502" t="str">
        <f t="shared" si="45"/>
        <v>paramProd2COGSPRenewalUnit</v>
      </c>
      <c r="P42" s="7">
        <f>COUNTIF(adj!$C37:$C345,$A42)</f>
        <v>0</v>
      </c>
      <c r="R42" s="7">
        <f>SUMIF(adj!$C$3:$C$311,$A42,adj!E$3:E$311)</f>
        <v>0</v>
      </c>
      <c r="S42" s="7">
        <f>SUMIF(adj!$C$3:$C$311,$A42,adj!F$3:F$311)</f>
        <v>0</v>
      </c>
      <c r="T42" s="7">
        <f>SUMIF(adj!$C$3:$C$311,$A42,adj!G$3:G$311)</f>
        <v>0</v>
      </c>
      <c r="U42" s="7">
        <f>SUMIF(adj!$C$3:$C$311,$A42,adj!H$3:H$311)</f>
        <v>0</v>
      </c>
      <c r="V42" s="7">
        <f>SUMIF(adj!$C$3:$C$311,$A42,adj!I$3:I$311)</f>
        <v>0</v>
      </c>
      <c r="W42" s="7">
        <f>SUMIF(adj!$C$3:$C$311,$A42,adj!J$3:J$311)</f>
        <v>0</v>
      </c>
      <c r="X42" s="7">
        <f>SUMIF(adj!$C$3:$C$311,$A42,adj!K$3:K$311)</f>
        <v>0</v>
      </c>
      <c r="Y42" s="7">
        <f>SUMIF(adj!$C$3:$C$311,$A42,adj!L$3:L$311)</f>
        <v>0</v>
      </c>
      <c r="Z42" s="7">
        <f>SUMIF(adj!$C$3:$C$311,$A42,adj!M$3:M$311)</f>
        <v>0</v>
      </c>
      <c r="AA42" s="7">
        <f>SUMIF(adj!$C$3:$C$311,$A42,adj!N$3:N$311)</f>
        <v>0</v>
      </c>
      <c r="AB42" s="7">
        <f>SUMIF(adj!$C$3:$C$311,$A42,adj!O$3:O$311)</f>
        <v>0</v>
      </c>
    </row>
    <row r="43" spans="1:28">
      <c r="A43" s="137" t="s">
        <v>1558</v>
      </c>
      <c r="B43" s="137" t="str">
        <f>nmProd1&amp;" COGS Per Unit"</f>
        <v>Productivity &amp; Business COGS Per Unit</v>
      </c>
      <c r="C43" s="135" t="s">
        <v>2923</v>
      </c>
      <c r="D43" s="584">
        <f>dataProd3Price*0.3</f>
        <v>96</v>
      </c>
      <c r="E43" s="1258">
        <f t="shared" si="35"/>
        <v>96</v>
      </c>
      <c r="F43" s="1258">
        <f t="shared" si="36"/>
        <v>96</v>
      </c>
      <c r="G43" s="1258">
        <f t="shared" si="37"/>
        <v>96</v>
      </c>
      <c r="H43" s="1258">
        <f t="shared" si="38"/>
        <v>96</v>
      </c>
      <c r="I43" s="1258">
        <f t="shared" si="39"/>
        <v>96</v>
      </c>
      <c r="J43" s="1258">
        <f t="shared" si="40"/>
        <v>96</v>
      </c>
      <c r="K43" s="1258">
        <f t="shared" si="41"/>
        <v>96</v>
      </c>
      <c r="L43" s="1258">
        <f t="shared" si="42"/>
        <v>96</v>
      </c>
      <c r="M43" s="1258">
        <f t="shared" si="43"/>
        <v>96</v>
      </c>
      <c r="N43" s="1258">
        <f t="shared" si="44"/>
        <v>96</v>
      </c>
      <c r="O43" s="502" t="str">
        <f t="shared" si="45"/>
        <v>paramProd3MatCOGSPNewUnit</v>
      </c>
      <c r="P43" s="7">
        <f>COUNTIF(adj!$C38:$C346,$A43)</f>
        <v>0</v>
      </c>
      <c r="R43" s="7">
        <f>SUMIF(adj!$C$3:$C$311,$A43,adj!E$3:E$311)</f>
        <v>0</v>
      </c>
      <c r="S43" s="7">
        <f>SUMIF(adj!$C$3:$C$311,$A43,adj!F$3:F$311)</f>
        <v>0</v>
      </c>
      <c r="T43" s="7">
        <f>SUMIF(adj!$C$3:$C$311,$A43,adj!G$3:G$311)</f>
        <v>0</v>
      </c>
      <c r="U43" s="7">
        <f>SUMIF(adj!$C$3:$C$311,$A43,adj!H$3:H$311)</f>
        <v>0</v>
      </c>
      <c r="V43" s="7">
        <f>SUMIF(adj!$C$3:$C$311,$A43,adj!I$3:I$311)</f>
        <v>0</v>
      </c>
      <c r="W43" s="7">
        <f>SUMIF(adj!$C$3:$C$311,$A43,adj!J$3:J$311)</f>
        <v>0</v>
      </c>
      <c r="X43" s="7">
        <f>SUMIF(adj!$C$3:$C$311,$A43,adj!K$3:K$311)</f>
        <v>0</v>
      </c>
      <c r="Y43" s="7">
        <f>SUMIF(adj!$C$3:$C$311,$A43,adj!L$3:L$311)</f>
        <v>0</v>
      </c>
      <c r="Z43" s="7">
        <f>SUMIF(adj!$C$3:$C$311,$A43,adj!M$3:M$311)</f>
        <v>0</v>
      </c>
      <c r="AA43" s="7">
        <f>SUMIF(adj!$C$3:$C$311,$A43,adj!N$3:N$311)</f>
        <v>0</v>
      </c>
      <c r="AB43" s="7">
        <f>SUMIF(adj!$C$3:$C$311,$A43,adj!O$3:O$311)</f>
        <v>0</v>
      </c>
    </row>
    <row r="44" spans="1:28">
      <c r="A44" s="137" t="s">
        <v>1559</v>
      </c>
      <c r="B44" s="137" t="str">
        <f>nmProd1&amp;" COGS Per Unit"</f>
        <v>Productivity &amp; Business COGS Per Unit</v>
      </c>
      <c r="C44" s="135" t="s">
        <v>2923</v>
      </c>
      <c r="D44" s="584">
        <f>dataProd3Price*0.25</f>
        <v>80</v>
      </c>
      <c r="E44" s="1258">
        <f t="shared" si="35"/>
        <v>80</v>
      </c>
      <c r="F44" s="1258">
        <f t="shared" si="36"/>
        <v>80</v>
      </c>
      <c r="G44" s="1258">
        <f t="shared" si="37"/>
        <v>80</v>
      </c>
      <c r="H44" s="1258">
        <f t="shared" si="38"/>
        <v>80</v>
      </c>
      <c r="I44" s="1258">
        <f t="shared" si="39"/>
        <v>80</v>
      </c>
      <c r="J44" s="1258">
        <f t="shared" si="40"/>
        <v>80</v>
      </c>
      <c r="K44" s="1258">
        <f t="shared" si="41"/>
        <v>80</v>
      </c>
      <c r="L44" s="1258">
        <f t="shared" si="42"/>
        <v>80</v>
      </c>
      <c r="M44" s="1258">
        <f t="shared" si="43"/>
        <v>80</v>
      </c>
      <c r="N44" s="1258">
        <f t="shared" si="44"/>
        <v>80</v>
      </c>
      <c r="O44" s="502" t="str">
        <f t="shared" si="45"/>
        <v>paramProd3LaborCOGSPNewUnit</v>
      </c>
      <c r="P44" s="7">
        <f>COUNTIF(adj!$C39:$C347,$A44)</f>
        <v>0</v>
      </c>
      <c r="R44" s="7">
        <f>SUMIF(adj!$C$3:$C$311,$A44,adj!E$3:E$311)</f>
        <v>0</v>
      </c>
      <c r="S44" s="7">
        <f>SUMIF(adj!$C$3:$C$311,$A44,adj!F$3:F$311)</f>
        <v>0</v>
      </c>
      <c r="T44" s="7">
        <f>SUMIF(adj!$C$3:$C$311,$A44,adj!G$3:G$311)</f>
        <v>0</v>
      </c>
      <c r="U44" s="7">
        <f>SUMIF(adj!$C$3:$C$311,$A44,adj!H$3:H$311)</f>
        <v>0</v>
      </c>
      <c r="V44" s="7">
        <f>SUMIF(adj!$C$3:$C$311,$A44,adj!I$3:I$311)</f>
        <v>0</v>
      </c>
      <c r="W44" s="7">
        <f>SUMIF(adj!$C$3:$C$311,$A44,adj!J$3:J$311)</f>
        <v>0</v>
      </c>
      <c r="X44" s="7">
        <f>SUMIF(adj!$C$3:$C$311,$A44,adj!K$3:K$311)</f>
        <v>0</v>
      </c>
      <c r="Y44" s="7">
        <f>SUMIF(adj!$C$3:$C$311,$A44,adj!L$3:L$311)</f>
        <v>0</v>
      </c>
      <c r="Z44" s="7">
        <f>SUMIF(adj!$C$3:$C$311,$A44,adj!M$3:M$311)</f>
        <v>0</v>
      </c>
      <c r="AA44" s="7">
        <f>SUMIF(adj!$C$3:$C$311,$A44,adj!N$3:N$311)</f>
        <v>0</v>
      </c>
      <c r="AB44" s="7">
        <f>SUMIF(adj!$C$3:$C$311,$A44,adj!O$3:O$311)</f>
        <v>0</v>
      </c>
    </row>
    <row r="45" spans="1:28">
      <c r="A45" s="137" t="s">
        <v>1664</v>
      </c>
      <c r="B45" s="137" t="str">
        <f>nmProd1&amp;" COGS Per Non-Cloud Unit"</f>
        <v>Productivity &amp; Business COGS Per Non-Cloud Unit</v>
      </c>
      <c r="C45" s="135" t="s">
        <v>2923</v>
      </c>
      <c r="D45" s="584">
        <f>D41*0.5</f>
        <v>1.3499999999999999</v>
      </c>
      <c r="E45" s="1258">
        <f t="shared" si="35"/>
        <v>1.3499999999999999</v>
      </c>
      <c r="F45" s="1258">
        <f t="shared" si="36"/>
        <v>1.3499999999999999</v>
      </c>
      <c r="G45" s="1258">
        <f t="shared" si="37"/>
        <v>1.3499999999999999</v>
      </c>
      <c r="H45" s="1258">
        <f t="shared" si="38"/>
        <v>1.3499999999999999</v>
      </c>
      <c r="I45" s="1258">
        <f t="shared" si="39"/>
        <v>1.3499999999999999</v>
      </c>
      <c r="J45" s="1258">
        <f t="shared" si="40"/>
        <v>1.3499999999999999</v>
      </c>
      <c r="K45" s="1258">
        <f t="shared" si="41"/>
        <v>1.3499999999999999</v>
      </c>
      <c r="L45" s="1258">
        <f t="shared" si="42"/>
        <v>1.3499999999999999</v>
      </c>
      <c r="M45" s="1258">
        <f t="shared" si="43"/>
        <v>1.3499999999999999</v>
      </c>
      <c r="N45" s="1258">
        <f t="shared" si="44"/>
        <v>1.3499999999999999</v>
      </c>
      <c r="O45" s="502" t="str">
        <f t="shared" si="45"/>
        <v>paramProd1COGSPNonCloudUnit</v>
      </c>
      <c r="P45" s="7">
        <f>COUNTIF(adj!$C40:$C348,$A45)</f>
        <v>0</v>
      </c>
      <c r="R45" s="7">
        <f>SUMIF(adj!$C$3:$C$311,$A45,adj!E$3:E$311)</f>
        <v>0</v>
      </c>
      <c r="S45" s="7">
        <f>SUMIF(adj!$C$3:$C$311,$A45,adj!F$3:F$311)</f>
        <v>0</v>
      </c>
      <c r="T45" s="7">
        <f>SUMIF(adj!$C$3:$C$311,$A45,adj!G$3:G$311)</f>
        <v>0</v>
      </c>
      <c r="U45" s="7">
        <f>SUMIF(adj!$C$3:$C$311,$A45,adj!H$3:H$311)</f>
        <v>0</v>
      </c>
      <c r="V45" s="7">
        <f>SUMIF(adj!$C$3:$C$311,$A45,adj!I$3:I$311)</f>
        <v>0</v>
      </c>
      <c r="W45" s="7">
        <f>SUMIF(adj!$C$3:$C$311,$A45,adj!J$3:J$311)</f>
        <v>0</v>
      </c>
      <c r="X45" s="7">
        <f>SUMIF(adj!$C$3:$C$311,$A45,adj!K$3:K$311)</f>
        <v>0</v>
      </c>
      <c r="Y45" s="7">
        <f>SUMIF(adj!$C$3:$C$311,$A45,adj!L$3:L$311)</f>
        <v>0</v>
      </c>
      <c r="Z45" s="7">
        <f>SUMIF(adj!$C$3:$C$311,$A45,adj!M$3:M$311)</f>
        <v>0</v>
      </c>
      <c r="AA45" s="7">
        <f>SUMIF(adj!$C$3:$C$311,$A45,adj!N$3:N$311)</f>
        <v>0</v>
      </c>
      <c r="AB45" s="7">
        <f>SUMIF(adj!$C$3:$C$311,$A45,adj!O$3:O$311)</f>
        <v>0</v>
      </c>
    </row>
    <row r="46" spans="1:28">
      <c r="A46" s="137" t="s">
        <v>1757</v>
      </c>
      <c r="B46" s="137" t="s">
        <v>1758</v>
      </c>
      <c r="C46" s="135" t="s">
        <v>260</v>
      </c>
      <c r="D46" s="584">
        <v>0.08</v>
      </c>
      <c r="E46" s="1258">
        <f t="shared" si="35"/>
        <v>0.08</v>
      </c>
      <c r="F46" s="1258">
        <f t="shared" si="36"/>
        <v>0.08</v>
      </c>
      <c r="G46" s="1258">
        <f t="shared" si="37"/>
        <v>0.08</v>
      </c>
      <c r="H46" s="1258">
        <f t="shared" si="38"/>
        <v>0.08</v>
      </c>
      <c r="I46" s="1258">
        <f t="shared" si="39"/>
        <v>0.08</v>
      </c>
      <c r="J46" s="1258">
        <f t="shared" si="40"/>
        <v>0.08</v>
      </c>
      <c r="K46" s="1258">
        <f t="shared" si="41"/>
        <v>0.08</v>
      </c>
      <c r="L46" s="1258">
        <f t="shared" si="42"/>
        <v>0.08</v>
      </c>
      <c r="M46" s="1258">
        <f t="shared" si="43"/>
        <v>0.08</v>
      </c>
      <c r="N46" s="1258">
        <f t="shared" si="44"/>
        <v>0.08</v>
      </c>
      <c r="O46" s="502" t="str">
        <f t="shared" si="45"/>
        <v>paramEGPlatformCOGSPLevel</v>
      </c>
      <c r="P46" s="7">
        <f>COUNTIF(adj!$C41:$C349,$A46)</f>
        <v>0</v>
      </c>
      <c r="R46" s="7">
        <f>SUMIF(adj!$C$3:$C$311,$A46,adj!E$3:E$311)</f>
        <v>0</v>
      </c>
      <c r="S46" s="7">
        <f>SUMIF(adj!$C$3:$C$311,$A46,adj!F$3:F$311)</f>
        <v>0</v>
      </c>
      <c r="T46" s="7">
        <f>SUMIF(adj!$C$3:$C$311,$A46,adj!G$3:G$311)</f>
        <v>0</v>
      </c>
      <c r="U46" s="7">
        <f>SUMIF(adj!$C$3:$C$311,$A46,adj!H$3:H$311)</f>
        <v>0</v>
      </c>
      <c r="V46" s="7">
        <f>SUMIF(adj!$C$3:$C$311,$A46,adj!I$3:I$311)</f>
        <v>0</v>
      </c>
      <c r="W46" s="7">
        <f>SUMIF(adj!$C$3:$C$311,$A46,adj!J$3:J$311)</f>
        <v>0</v>
      </c>
      <c r="X46" s="7">
        <f>SUMIF(adj!$C$3:$C$311,$A46,adj!K$3:K$311)</f>
        <v>0</v>
      </c>
      <c r="Y46" s="7">
        <f>SUMIF(adj!$C$3:$C$311,$A46,adj!L$3:L$311)</f>
        <v>0</v>
      </c>
      <c r="Z46" s="7">
        <f>SUMIF(adj!$C$3:$C$311,$A46,adj!M$3:M$311)</f>
        <v>0</v>
      </c>
      <c r="AA46" s="7">
        <f>SUMIF(adj!$C$3:$C$311,$A46,adj!N$3:N$311)</f>
        <v>0</v>
      </c>
      <c r="AB46" s="7">
        <f>SUMIF(adj!$C$3:$C$311,$A46,adj!O$3:O$311)</f>
        <v>0</v>
      </c>
    </row>
    <row r="47" spans="1:28">
      <c r="A47" s="137" t="s">
        <v>1759</v>
      </c>
      <c r="B47" s="137" t="s">
        <v>1760</v>
      </c>
      <c r="C47" s="135" t="s">
        <v>260</v>
      </c>
      <c r="D47" s="584">
        <v>0.04</v>
      </c>
      <c r="E47" s="1258">
        <f t="shared" si="35"/>
        <v>0.04</v>
      </c>
      <c r="F47" s="1258">
        <f t="shared" si="36"/>
        <v>0.04</v>
      </c>
      <c r="G47" s="1258">
        <f t="shared" si="37"/>
        <v>0.04</v>
      </c>
      <c r="H47" s="1258">
        <f t="shared" si="38"/>
        <v>0.04</v>
      </c>
      <c r="I47" s="1258">
        <f t="shared" si="39"/>
        <v>0.04</v>
      </c>
      <c r="J47" s="1258">
        <f t="shared" si="40"/>
        <v>0.04</v>
      </c>
      <c r="K47" s="1258">
        <f t="shared" si="41"/>
        <v>0.04</v>
      </c>
      <c r="L47" s="1258">
        <f t="shared" si="42"/>
        <v>0.04</v>
      </c>
      <c r="M47" s="1258">
        <f t="shared" si="43"/>
        <v>0.04</v>
      </c>
      <c r="N47" s="1258">
        <f t="shared" si="44"/>
        <v>0.04</v>
      </c>
      <c r="O47" s="502" t="str">
        <f t="shared" si="45"/>
        <v>paramEGOfferingCOGSPLevel</v>
      </c>
      <c r="P47" s="7">
        <f>COUNTIF(adj!$C42:$C350,$A47)</f>
        <v>0</v>
      </c>
      <c r="R47" s="7">
        <f>SUMIF(adj!$C$3:$C$311,$A47,adj!E$3:E$311)</f>
        <v>0</v>
      </c>
      <c r="S47" s="7">
        <f>SUMIF(adj!$C$3:$C$311,$A47,adj!F$3:F$311)</f>
        <v>0</v>
      </c>
      <c r="T47" s="7">
        <f>SUMIF(adj!$C$3:$C$311,$A47,adj!G$3:G$311)</f>
        <v>0</v>
      </c>
      <c r="U47" s="7">
        <f>SUMIF(adj!$C$3:$C$311,$A47,adj!H$3:H$311)</f>
        <v>0</v>
      </c>
      <c r="V47" s="7">
        <f>SUMIF(adj!$C$3:$C$311,$A47,adj!I$3:I$311)</f>
        <v>0</v>
      </c>
      <c r="W47" s="7">
        <f>SUMIF(adj!$C$3:$C$311,$A47,adj!J$3:J$311)</f>
        <v>0</v>
      </c>
      <c r="X47" s="7">
        <f>SUMIF(adj!$C$3:$C$311,$A47,adj!K$3:K$311)</f>
        <v>0</v>
      </c>
      <c r="Y47" s="7">
        <f>SUMIF(adj!$C$3:$C$311,$A47,adj!L$3:L$311)</f>
        <v>0</v>
      </c>
      <c r="Z47" s="7">
        <f>SUMIF(adj!$C$3:$C$311,$A47,adj!M$3:M$311)</f>
        <v>0</v>
      </c>
      <c r="AA47" s="7">
        <f>SUMIF(adj!$C$3:$C$311,$A47,adj!N$3:N$311)</f>
        <v>0</v>
      </c>
      <c r="AB47" s="7">
        <f>SUMIF(adj!$C$3:$C$311,$A47,adj!O$3:O$311)</f>
        <v>0</v>
      </c>
    </row>
    <row r="49" spans="1:28">
      <c r="A49" s="6" t="s">
        <v>459</v>
      </c>
    </row>
    <row r="50" spans="1:28">
      <c r="A50" s="137" t="str">
        <f>nmSeg1&amp;"SubsPCustomer"</f>
        <v>EnterpriseSubsPCustomer</v>
      </c>
      <c r="B50" s="137" t="str">
        <f>nmSeg1&amp;" Subscriptions Per Customer"</f>
        <v>Enterprise Subscriptions Per Customer</v>
      </c>
      <c r="C50" s="135" t="s">
        <v>260</v>
      </c>
      <c r="D50" s="670">
        <v>10000</v>
      </c>
      <c r="E50" s="1257">
        <f t="shared" ref="E50:N53" si="46">IF($C50="R",$D50*(1+R50),$D50+R50)</f>
        <v>10000</v>
      </c>
      <c r="F50" s="1257">
        <f t="shared" si="46"/>
        <v>10000</v>
      </c>
      <c r="G50" s="1257">
        <f t="shared" si="46"/>
        <v>10000</v>
      </c>
      <c r="H50" s="1257">
        <f t="shared" si="46"/>
        <v>10000</v>
      </c>
      <c r="I50" s="1257">
        <f t="shared" si="46"/>
        <v>10000</v>
      </c>
      <c r="J50" s="1257">
        <f t="shared" si="46"/>
        <v>10000</v>
      </c>
      <c r="K50" s="1257">
        <f t="shared" si="46"/>
        <v>10000</v>
      </c>
      <c r="L50" s="1257">
        <f t="shared" si="46"/>
        <v>10000</v>
      </c>
      <c r="M50" s="1257">
        <f t="shared" si="46"/>
        <v>10000</v>
      </c>
      <c r="N50" s="1257">
        <f t="shared" si="46"/>
        <v>10000</v>
      </c>
      <c r="O50" s="502" t="s">
        <v>1598</v>
      </c>
      <c r="P50" s="7">
        <f>COUNTIF(adj!$C45:$C353,$A50)</f>
        <v>0</v>
      </c>
      <c r="R50" s="7">
        <f>SUMIF(adj!$C$3:$C$311,$A50,adj!E$3:E$311)</f>
        <v>0</v>
      </c>
      <c r="S50" s="7">
        <f>SUMIF(adj!$C$3:$C$311,$A50,adj!F$3:F$311)</f>
        <v>0</v>
      </c>
      <c r="T50" s="7">
        <f>SUMIF(adj!$C$3:$C$311,$A50,adj!G$3:G$311)</f>
        <v>0</v>
      </c>
      <c r="U50" s="7">
        <f>SUMIF(adj!$C$3:$C$311,$A50,adj!H$3:H$311)</f>
        <v>0</v>
      </c>
      <c r="V50" s="7">
        <f>SUMIF(adj!$C$3:$C$311,$A50,adj!I$3:I$311)</f>
        <v>0</v>
      </c>
      <c r="W50" s="7">
        <f>SUMIF(adj!$C$3:$C$311,$A50,adj!J$3:J$311)</f>
        <v>0</v>
      </c>
      <c r="X50" s="7">
        <f>SUMIF(adj!$C$3:$C$311,$A50,adj!K$3:K$311)</f>
        <v>0</v>
      </c>
      <c r="Y50" s="7">
        <f>SUMIF(adj!$C$3:$C$311,$A50,adj!L$3:L$311)</f>
        <v>0</v>
      </c>
      <c r="Z50" s="7">
        <f>SUMIF(adj!$C$3:$C$311,$A50,adj!M$3:M$311)</f>
        <v>0</v>
      </c>
      <c r="AA50" s="7">
        <f>SUMIF(adj!$C$3:$C$311,$A50,adj!N$3:N$311)</f>
        <v>0</v>
      </c>
      <c r="AB50" s="7">
        <f>SUMIF(adj!$C$3:$C$311,$A50,adj!O$3:O$311)</f>
        <v>0</v>
      </c>
    </row>
    <row r="51" spans="1:28">
      <c r="A51" s="137" t="str">
        <f>nmSeg2&amp;"SubsPCustomer"</f>
        <v>SMCSubsPCustomer</v>
      </c>
      <c r="B51" s="137" t="str">
        <f>nmSeg2&amp;" Subscriptions Per Customer"</f>
        <v>SMC Subscriptions Per Customer</v>
      </c>
      <c r="C51" s="135" t="s">
        <v>260</v>
      </c>
      <c r="D51" s="670">
        <v>1000</v>
      </c>
      <c r="E51" s="1257">
        <f t="shared" si="46"/>
        <v>1000</v>
      </c>
      <c r="F51" s="1257">
        <f t="shared" si="46"/>
        <v>1000</v>
      </c>
      <c r="G51" s="1257">
        <f t="shared" si="46"/>
        <v>1000</v>
      </c>
      <c r="H51" s="1257">
        <f t="shared" si="46"/>
        <v>1000</v>
      </c>
      <c r="I51" s="1257">
        <f t="shared" si="46"/>
        <v>1000</v>
      </c>
      <c r="J51" s="1257">
        <f t="shared" si="46"/>
        <v>1000</v>
      </c>
      <c r="K51" s="1257">
        <f t="shared" si="46"/>
        <v>1000</v>
      </c>
      <c r="L51" s="1257">
        <f t="shared" si="46"/>
        <v>1000</v>
      </c>
      <c r="M51" s="1257">
        <f t="shared" si="46"/>
        <v>1000</v>
      </c>
      <c r="N51" s="1257">
        <f t="shared" si="46"/>
        <v>1000</v>
      </c>
      <c r="O51" s="502" t="s">
        <v>1599</v>
      </c>
      <c r="P51" s="7">
        <f>COUNTIF(adj!$C46:$C354,$A51)</f>
        <v>0</v>
      </c>
      <c r="R51" s="7">
        <f>SUMIF(adj!$C$3:$C$311,$A51,adj!E$3:E$311)</f>
        <v>0</v>
      </c>
      <c r="S51" s="7">
        <f>SUMIF(adj!$C$3:$C$311,$A51,adj!F$3:F$311)</f>
        <v>0</v>
      </c>
      <c r="T51" s="7">
        <f>SUMIF(adj!$C$3:$C$311,$A51,adj!G$3:G$311)</f>
        <v>0</v>
      </c>
      <c r="U51" s="7">
        <f>SUMIF(adj!$C$3:$C$311,$A51,adj!H$3:H$311)</f>
        <v>0</v>
      </c>
      <c r="V51" s="7">
        <f>SUMIF(adj!$C$3:$C$311,$A51,adj!I$3:I$311)</f>
        <v>0</v>
      </c>
      <c r="W51" s="7">
        <f>SUMIF(adj!$C$3:$C$311,$A51,adj!J$3:J$311)</f>
        <v>0</v>
      </c>
      <c r="X51" s="7">
        <f>SUMIF(adj!$C$3:$C$311,$A51,adj!K$3:K$311)</f>
        <v>0</v>
      </c>
      <c r="Y51" s="7">
        <f>SUMIF(adj!$C$3:$C$311,$A51,adj!L$3:L$311)</f>
        <v>0</v>
      </c>
      <c r="Z51" s="7">
        <f>SUMIF(adj!$C$3:$C$311,$A51,adj!M$3:M$311)</f>
        <v>0</v>
      </c>
      <c r="AA51" s="7">
        <f>SUMIF(adj!$C$3:$C$311,$A51,adj!N$3:N$311)</f>
        <v>0</v>
      </c>
      <c r="AB51" s="7">
        <f>SUMIF(adj!$C$3:$C$311,$A51,adj!O$3:O$311)</f>
        <v>0</v>
      </c>
    </row>
    <row r="52" spans="1:28">
      <c r="A52" s="137" t="s">
        <v>2542</v>
      </c>
      <c r="B52" s="137" t="s">
        <v>2543</v>
      </c>
      <c r="C52" s="135" t="s">
        <v>260</v>
      </c>
      <c r="D52" s="487">
        <v>15000</v>
      </c>
      <c r="E52" s="521">
        <f t="shared" si="46"/>
        <v>15000</v>
      </c>
      <c r="F52" s="521">
        <f t="shared" si="46"/>
        <v>15000</v>
      </c>
      <c r="G52" s="521">
        <f t="shared" si="46"/>
        <v>15000</v>
      </c>
      <c r="H52" s="521">
        <f t="shared" si="46"/>
        <v>15000</v>
      </c>
      <c r="I52" s="521">
        <f t="shared" si="46"/>
        <v>15000</v>
      </c>
      <c r="J52" s="521">
        <f t="shared" si="46"/>
        <v>15000</v>
      </c>
      <c r="K52" s="521">
        <f t="shared" si="46"/>
        <v>15000</v>
      </c>
      <c r="L52" s="521">
        <f t="shared" si="46"/>
        <v>15000</v>
      </c>
      <c r="M52" s="521">
        <f t="shared" si="46"/>
        <v>15000</v>
      </c>
      <c r="N52" s="521">
        <f t="shared" si="46"/>
        <v>15000</v>
      </c>
      <c r="O52" s="502" t="str">
        <f>"param"&amp;A52</f>
        <v>paramServicesPrice</v>
      </c>
      <c r="P52" s="7">
        <f>COUNTIF(adj!$C47:$C355,$A52)</f>
        <v>0</v>
      </c>
      <c r="R52" s="7">
        <f>SUMIF(adj!$C$3:$C$311,$A52,adj!E$3:E$311)</f>
        <v>0</v>
      </c>
      <c r="S52" s="7">
        <f>SUMIF(adj!$C$3:$C$311,$A52,adj!F$3:F$311)</f>
        <v>0</v>
      </c>
      <c r="T52" s="7">
        <f>SUMIF(adj!$C$3:$C$311,$A52,adj!G$3:G$311)</f>
        <v>0</v>
      </c>
      <c r="U52" s="7">
        <f>SUMIF(adj!$C$3:$C$311,$A52,adj!H$3:H$311)</f>
        <v>0</v>
      </c>
      <c r="V52" s="7">
        <f>SUMIF(adj!$C$3:$C$311,$A52,adj!I$3:I$311)</f>
        <v>0</v>
      </c>
      <c r="W52" s="7">
        <f>SUMIF(adj!$C$3:$C$311,$A52,adj!J$3:J$311)</f>
        <v>0</v>
      </c>
      <c r="X52" s="7">
        <f>SUMIF(adj!$C$3:$C$311,$A52,adj!K$3:K$311)</f>
        <v>0</v>
      </c>
      <c r="Y52" s="7">
        <f>SUMIF(adj!$C$3:$C$311,$A52,adj!L$3:L$311)</f>
        <v>0</v>
      </c>
      <c r="Z52" s="7">
        <f>SUMIF(adj!$C$3:$C$311,$A52,adj!M$3:M$311)</f>
        <v>0</v>
      </c>
      <c r="AA52" s="7">
        <f>SUMIF(adj!$C$3:$C$311,$A52,adj!N$3:N$311)</f>
        <v>0</v>
      </c>
      <c r="AB52" s="7">
        <f>SUMIF(adj!$C$3:$C$311,$A52,adj!O$3:O$311)</f>
        <v>0</v>
      </c>
    </row>
    <row r="53" spans="1:28">
      <c r="A53" s="137" t="s">
        <v>2544</v>
      </c>
      <c r="B53" s="137" t="s">
        <v>2545</v>
      </c>
      <c r="C53" s="135" t="s">
        <v>260</v>
      </c>
      <c r="D53" s="487">
        <f>D52*0.3</f>
        <v>4500</v>
      </c>
      <c r="E53" s="521">
        <f t="shared" si="46"/>
        <v>4500</v>
      </c>
      <c r="F53" s="521">
        <f t="shared" si="46"/>
        <v>4500</v>
      </c>
      <c r="G53" s="521">
        <f t="shared" si="46"/>
        <v>4500</v>
      </c>
      <c r="H53" s="521">
        <f t="shared" si="46"/>
        <v>4500</v>
      </c>
      <c r="I53" s="521">
        <f t="shared" si="46"/>
        <v>4500</v>
      </c>
      <c r="J53" s="521">
        <f t="shared" si="46"/>
        <v>4500</v>
      </c>
      <c r="K53" s="521">
        <f t="shared" si="46"/>
        <v>4500</v>
      </c>
      <c r="L53" s="521">
        <f t="shared" si="46"/>
        <v>4500</v>
      </c>
      <c r="M53" s="521">
        <f t="shared" si="46"/>
        <v>4500</v>
      </c>
      <c r="N53" s="521">
        <f t="shared" si="46"/>
        <v>4500</v>
      </c>
      <c r="O53" s="502" t="str">
        <f>"param"&amp;A53</f>
        <v>paramServicesCOGS</v>
      </c>
      <c r="P53" s="7">
        <f>COUNTIF(adj!$C48:$C356,$A53)</f>
        <v>0</v>
      </c>
      <c r="R53" s="7">
        <f>SUMIF(adj!$C$3:$C$311,$A53,adj!E$3:E$311)</f>
        <v>0</v>
      </c>
      <c r="S53" s="7">
        <f>SUMIF(adj!$C$3:$C$311,$A53,adj!F$3:F$311)</f>
        <v>0</v>
      </c>
      <c r="T53" s="7">
        <f>SUMIF(adj!$C$3:$C$311,$A53,adj!G$3:G$311)</f>
        <v>0</v>
      </c>
      <c r="U53" s="7">
        <f>SUMIF(adj!$C$3:$C$311,$A53,adj!H$3:H$311)</f>
        <v>0</v>
      </c>
      <c r="V53" s="7">
        <f>SUMIF(adj!$C$3:$C$311,$A53,adj!I$3:I$311)</f>
        <v>0</v>
      </c>
      <c r="W53" s="7">
        <f>SUMIF(adj!$C$3:$C$311,$A53,adj!J$3:J$311)</f>
        <v>0</v>
      </c>
      <c r="X53" s="7">
        <f>SUMIF(adj!$C$3:$C$311,$A53,adj!K$3:K$311)</f>
        <v>0</v>
      </c>
      <c r="Y53" s="7">
        <f>SUMIF(adj!$C$3:$C$311,$A53,adj!L$3:L$311)</f>
        <v>0</v>
      </c>
      <c r="Z53" s="7">
        <f>SUMIF(adj!$C$3:$C$311,$A53,adj!M$3:M$311)</f>
        <v>0</v>
      </c>
      <c r="AA53" s="7">
        <f>SUMIF(adj!$C$3:$C$311,$A53,adj!N$3:N$311)</f>
        <v>0</v>
      </c>
      <c r="AB53" s="7">
        <f>SUMIF(adj!$C$3:$C$311,$A53,adj!O$3:O$311)</f>
        <v>0</v>
      </c>
    </row>
    <row r="54" spans="1:28">
      <c r="D54" s="585"/>
    </row>
    <row r="55" spans="1:28">
      <c r="A55" s="6" t="s">
        <v>1076</v>
      </c>
    </row>
    <row r="56" spans="1:28">
      <c r="A56" s="137" t="s">
        <v>1255</v>
      </c>
      <c r="B56" s="137" t="s">
        <v>1254</v>
      </c>
      <c r="C56" s="135" t="s">
        <v>260</v>
      </c>
      <c r="D56" s="487">
        <v>2500000</v>
      </c>
      <c r="E56" s="521">
        <f t="shared" ref="E56:E61" si="47">IF($C56="R",$D56*(1+R56),$D56+R56)</f>
        <v>2500000</v>
      </c>
      <c r="F56" s="521">
        <f t="shared" ref="F56:F61" si="48">IF($C56="R",$D56*(1+S56),$D56+S56)</f>
        <v>2500000</v>
      </c>
      <c r="G56" s="521">
        <f t="shared" ref="G56:G61" si="49">IF($C56="R",$D56*(1+T56),$D56+T56)</f>
        <v>2500000</v>
      </c>
      <c r="H56" s="521">
        <f t="shared" ref="H56:H61" si="50">IF($C56="R",$D56*(1+U56),$D56+U56)</f>
        <v>2500000</v>
      </c>
      <c r="I56" s="521">
        <f t="shared" ref="I56:I61" si="51">IF($C56="R",$D56*(1+V56),$D56+V56)</f>
        <v>2500000</v>
      </c>
      <c r="J56" s="521">
        <f t="shared" ref="J56:J61" si="52">IF($C56="R",$D56*(1+W56),$D56+W56)</f>
        <v>2500000</v>
      </c>
      <c r="K56" s="521">
        <f t="shared" ref="K56:K61" si="53">IF($C56="R",$D56*(1+X56),$D56+X56)</f>
        <v>2500000</v>
      </c>
      <c r="L56" s="521">
        <f t="shared" ref="L56:L61" si="54">IF($C56="R",$D56*(1+Y56),$D56+Y56)</f>
        <v>2500000</v>
      </c>
      <c r="M56" s="521">
        <f t="shared" ref="M56:M61" si="55">IF($C56="R",$D56*(1+Z56),$D56+Z56)</f>
        <v>2500000</v>
      </c>
      <c r="N56" s="521">
        <f t="shared" ref="N56:N61" si="56">IF($C56="R",$D56*(1+AA56),$D56+AA56)</f>
        <v>2500000</v>
      </c>
      <c r="O56" s="502" t="str">
        <f t="shared" ref="O56:O61" si="57">"param"&amp;A56</f>
        <v>paramFixedPartnerBudget</v>
      </c>
      <c r="P56" s="7">
        <f>COUNTIF(adj!$C51:$C359,$A56)</f>
        <v>0</v>
      </c>
      <c r="R56" s="7">
        <f>SUMIF(adj!$C$3:$C$311,$A56,adj!E$3:E$311)</f>
        <v>0</v>
      </c>
      <c r="S56" s="7">
        <f>SUMIF(adj!$C$3:$C$311,$A56,adj!F$3:F$311)</f>
        <v>0</v>
      </c>
      <c r="T56" s="7">
        <f>SUMIF(adj!$C$3:$C$311,$A56,adj!G$3:G$311)</f>
        <v>0</v>
      </c>
      <c r="U56" s="7">
        <f>SUMIF(adj!$C$3:$C$311,$A56,adj!H$3:H$311)</f>
        <v>0</v>
      </c>
      <c r="V56" s="7">
        <f>SUMIF(adj!$C$3:$C$311,$A56,adj!I$3:I$311)</f>
        <v>0</v>
      </c>
      <c r="W56" s="7">
        <f>SUMIF(adj!$C$3:$C$311,$A56,adj!J$3:J$311)</f>
        <v>0</v>
      </c>
      <c r="X56" s="7">
        <f>SUMIF(adj!$C$3:$C$311,$A56,adj!K$3:K$311)</f>
        <v>0</v>
      </c>
      <c r="Y56" s="7">
        <f>SUMIF(adj!$C$3:$C$311,$A56,adj!L$3:L$311)</f>
        <v>0</v>
      </c>
      <c r="Z56" s="7">
        <f>SUMIF(adj!$C$3:$C$311,$A56,adj!M$3:M$311)</f>
        <v>0</v>
      </c>
      <c r="AA56" s="7">
        <f>SUMIF(adj!$C$3:$C$311,$A56,adj!N$3:N$311)</f>
        <v>0</v>
      </c>
      <c r="AB56" s="7">
        <f>SUMIF(adj!$C$3:$C$311,$A56,adj!O$3:O$311)</f>
        <v>0</v>
      </c>
    </row>
    <row r="57" spans="1:28">
      <c r="A57" s="137" t="s">
        <v>1484</v>
      </c>
      <c r="B57" s="137" t="s">
        <v>1485</v>
      </c>
      <c r="C57" s="135" t="s">
        <v>260</v>
      </c>
      <c r="D57" s="487">
        <v>100000000</v>
      </c>
      <c r="E57" s="521">
        <f t="shared" si="47"/>
        <v>100000000</v>
      </c>
      <c r="F57" s="521">
        <f t="shared" si="48"/>
        <v>100000000</v>
      </c>
      <c r="G57" s="521">
        <f t="shared" si="49"/>
        <v>100000000</v>
      </c>
      <c r="H57" s="521">
        <f t="shared" si="50"/>
        <v>100000000</v>
      </c>
      <c r="I57" s="521">
        <f t="shared" si="51"/>
        <v>100000000</v>
      </c>
      <c r="J57" s="521">
        <f t="shared" si="52"/>
        <v>100000000</v>
      </c>
      <c r="K57" s="521">
        <f t="shared" si="53"/>
        <v>100000000</v>
      </c>
      <c r="L57" s="521">
        <f t="shared" si="54"/>
        <v>100000000</v>
      </c>
      <c r="M57" s="521">
        <f t="shared" si="55"/>
        <v>100000000</v>
      </c>
      <c r="N57" s="521">
        <f t="shared" si="56"/>
        <v>100000000</v>
      </c>
      <c r="O57" s="502" t="str">
        <f t="shared" si="57"/>
        <v>paramDataCenterCost</v>
      </c>
      <c r="P57" s="7">
        <f>COUNTIF(adj!$C52:$C360,$A57)</f>
        <v>0</v>
      </c>
      <c r="R57" s="7">
        <f>SUMIF(adj!$C$3:$C$311,$A57,adj!E$3:E$311)</f>
        <v>0</v>
      </c>
      <c r="S57" s="7">
        <f>SUMIF(adj!$C$3:$C$311,$A57,adj!F$3:F$311)</f>
        <v>0</v>
      </c>
      <c r="T57" s="7">
        <f>SUMIF(adj!$C$3:$C$311,$A57,adj!G$3:G$311)</f>
        <v>0</v>
      </c>
      <c r="U57" s="7">
        <f>SUMIF(adj!$C$3:$C$311,$A57,adj!H$3:H$311)</f>
        <v>0</v>
      </c>
      <c r="V57" s="7">
        <f>SUMIF(adj!$C$3:$C$311,$A57,adj!I$3:I$311)</f>
        <v>0</v>
      </c>
      <c r="W57" s="7">
        <f>SUMIF(adj!$C$3:$C$311,$A57,adj!J$3:J$311)</f>
        <v>0</v>
      </c>
      <c r="X57" s="7">
        <f>SUMIF(adj!$C$3:$C$311,$A57,adj!K$3:K$311)</f>
        <v>0</v>
      </c>
      <c r="Y57" s="7">
        <f>SUMIF(adj!$C$3:$C$311,$A57,adj!L$3:L$311)</f>
        <v>0</v>
      </c>
      <c r="Z57" s="7">
        <f>SUMIF(adj!$C$3:$C$311,$A57,adj!M$3:M$311)</f>
        <v>0</v>
      </c>
      <c r="AA57" s="7">
        <f>SUMIF(adj!$C$3:$C$311,$A57,adj!N$3:N$311)</f>
        <v>0</v>
      </c>
      <c r="AB57" s="7">
        <f>SUMIF(adj!$C$3:$C$311,$A57,adj!O$3:O$311)</f>
        <v>0</v>
      </c>
    </row>
    <row r="58" spans="1:28">
      <c r="A58" s="137" t="s">
        <v>1595</v>
      </c>
      <c r="B58" s="137" t="s">
        <v>1596</v>
      </c>
      <c r="C58" s="135" t="s">
        <v>260</v>
      </c>
      <c r="D58" s="487">
        <v>50000</v>
      </c>
      <c r="E58" s="521">
        <f t="shared" si="47"/>
        <v>50000</v>
      </c>
      <c r="F58" s="521">
        <f t="shared" si="48"/>
        <v>50000</v>
      </c>
      <c r="G58" s="521">
        <f t="shared" si="49"/>
        <v>50000</v>
      </c>
      <c r="H58" s="521">
        <f t="shared" si="50"/>
        <v>50000</v>
      </c>
      <c r="I58" s="521">
        <f t="shared" si="51"/>
        <v>50000</v>
      </c>
      <c r="J58" s="521">
        <f t="shared" si="52"/>
        <v>50000</v>
      </c>
      <c r="K58" s="521">
        <f t="shared" si="53"/>
        <v>50000</v>
      </c>
      <c r="L58" s="521">
        <f t="shared" si="54"/>
        <v>50000</v>
      </c>
      <c r="M58" s="521">
        <f t="shared" si="55"/>
        <v>50000</v>
      </c>
      <c r="N58" s="521">
        <f t="shared" si="56"/>
        <v>50000</v>
      </c>
      <c r="O58" s="502" t="str">
        <f t="shared" si="57"/>
        <v>paramHireDismissExpense</v>
      </c>
      <c r="P58" s="7">
        <f>COUNTIF(adj!$C53:$C361,$A58)</f>
        <v>0</v>
      </c>
      <c r="R58" s="7">
        <f>SUMIF(adj!$C$3:$C$311,$A58,adj!E$3:E$311)</f>
        <v>0</v>
      </c>
      <c r="S58" s="7">
        <f>SUMIF(adj!$C$3:$C$311,$A58,adj!F$3:F$311)</f>
        <v>0</v>
      </c>
      <c r="T58" s="7">
        <f>SUMIF(adj!$C$3:$C$311,$A58,adj!G$3:G$311)</f>
        <v>0</v>
      </c>
      <c r="U58" s="7">
        <f>SUMIF(adj!$C$3:$C$311,$A58,adj!H$3:H$311)</f>
        <v>0</v>
      </c>
      <c r="V58" s="7">
        <f>SUMIF(adj!$C$3:$C$311,$A58,adj!I$3:I$311)</f>
        <v>0</v>
      </c>
      <c r="W58" s="7">
        <f>SUMIF(adj!$C$3:$C$311,$A58,adj!J$3:J$311)</f>
        <v>0</v>
      </c>
      <c r="X58" s="7">
        <f>SUMIF(adj!$C$3:$C$311,$A58,adj!K$3:K$311)</f>
        <v>0</v>
      </c>
      <c r="Y58" s="7">
        <f>SUMIF(adj!$C$3:$C$311,$A58,adj!L$3:L$311)</f>
        <v>0</v>
      </c>
      <c r="Z58" s="7">
        <f>SUMIF(adj!$C$3:$C$311,$A58,adj!M$3:M$311)</f>
        <v>0</v>
      </c>
      <c r="AA58" s="7">
        <f>SUMIF(adj!$C$3:$C$311,$A58,adj!N$3:N$311)</f>
        <v>0</v>
      </c>
      <c r="AB58" s="7">
        <f>SUMIF(adj!$C$3:$C$311,$A58,adj!O$3:O$311)</f>
        <v>0</v>
      </c>
    </row>
    <row r="59" spans="1:28">
      <c r="A59" s="137" t="s">
        <v>1753</v>
      </c>
      <c r="B59" s="137" t="s">
        <v>1754</v>
      </c>
      <c r="C59" s="135" t="s">
        <v>260</v>
      </c>
      <c r="D59" s="139">
        <v>0.115</v>
      </c>
      <c r="E59" s="281">
        <f t="shared" si="47"/>
        <v>0.115</v>
      </c>
      <c r="F59" s="281">
        <f t="shared" si="48"/>
        <v>0.115</v>
      </c>
      <c r="G59" s="281">
        <f t="shared" si="49"/>
        <v>0.115</v>
      </c>
      <c r="H59" s="281">
        <f t="shared" si="50"/>
        <v>0.115</v>
      </c>
      <c r="I59" s="281">
        <f t="shared" si="51"/>
        <v>0.115</v>
      </c>
      <c r="J59" s="281">
        <f t="shared" si="52"/>
        <v>0.115</v>
      </c>
      <c r="K59" s="281">
        <f t="shared" si="53"/>
        <v>0.115</v>
      </c>
      <c r="L59" s="281">
        <f t="shared" si="54"/>
        <v>0.115</v>
      </c>
      <c r="M59" s="281">
        <f t="shared" si="55"/>
        <v>0.115</v>
      </c>
      <c r="N59" s="281">
        <f t="shared" si="56"/>
        <v>0.115</v>
      </c>
      <c r="O59" s="502" t="str">
        <f t="shared" si="57"/>
        <v>paramWACC</v>
      </c>
      <c r="P59" s="7">
        <f>COUNTIF(adj!$C54:$C362,$A59)</f>
        <v>0</v>
      </c>
      <c r="R59" s="7">
        <f>SUMIF(adj!$C$3:$C$311,$A59,adj!E$3:E$311)</f>
        <v>0</v>
      </c>
      <c r="S59" s="7">
        <f>SUMIF(adj!$C$3:$C$311,$A59,adj!F$3:F$311)</f>
        <v>0</v>
      </c>
      <c r="T59" s="7">
        <f>SUMIF(adj!$C$3:$C$311,$A59,adj!G$3:G$311)</f>
        <v>0</v>
      </c>
      <c r="U59" s="7">
        <f>SUMIF(adj!$C$3:$C$311,$A59,adj!H$3:H$311)</f>
        <v>0</v>
      </c>
      <c r="V59" s="7">
        <f>SUMIF(adj!$C$3:$C$311,$A59,adj!I$3:I$311)</f>
        <v>0</v>
      </c>
      <c r="W59" s="7">
        <f>SUMIF(adj!$C$3:$C$311,$A59,adj!J$3:J$311)</f>
        <v>0</v>
      </c>
      <c r="X59" s="7">
        <f>SUMIF(adj!$C$3:$C$311,$A59,adj!K$3:K$311)</f>
        <v>0</v>
      </c>
      <c r="Y59" s="7">
        <f>SUMIF(adj!$C$3:$C$311,$A59,adj!L$3:L$311)</f>
        <v>0</v>
      </c>
      <c r="Z59" s="7">
        <f>SUMIF(adj!$C$3:$C$311,$A59,adj!M$3:M$311)</f>
        <v>0</v>
      </c>
      <c r="AA59" s="7">
        <f>SUMIF(adj!$C$3:$C$311,$A59,adj!N$3:N$311)</f>
        <v>0</v>
      </c>
      <c r="AB59" s="7">
        <f>SUMIF(adj!$C$3:$C$311,$A59,adj!O$3:O$311)</f>
        <v>0</v>
      </c>
    </row>
    <row r="60" spans="1:28">
      <c r="A60" s="137" t="s">
        <v>1794</v>
      </c>
      <c r="B60" s="137" t="str">
        <f>nmProd3&amp;" Lifetime"</f>
        <v>Personal Computing Lifetime</v>
      </c>
      <c r="C60" s="135" t="s">
        <v>260</v>
      </c>
      <c r="D60" s="279">
        <v>1</v>
      </c>
      <c r="E60" s="842">
        <f t="shared" si="47"/>
        <v>1</v>
      </c>
      <c r="F60" s="842">
        <f t="shared" si="48"/>
        <v>1</v>
      </c>
      <c r="G60" s="842">
        <f t="shared" si="49"/>
        <v>1</v>
      </c>
      <c r="H60" s="842">
        <f t="shared" si="50"/>
        <v>1</v>
      </c>
      <c r="I60" s="842">
        <f t="shared" si="51"/>
        <v>1</v>
      </c>
      <c r="J60" s="842">
        <f t="shared" si="52"/>
        <v>1</v>
      </c>
      <c r="K60" s="842">
        <f t="shared" si="53"/>
        <v>1</v>
      </c>
      <c r="L60" s="842">
        <f t="shared" si="54"/>
        <v>1</v>
      </c>
      <c r="M60" s="842">
        <f t="shared" si="55"/>
        <v>1</v>
      </c>
      <c r="N60" s="842">
        <f t="shared" si="56"/>
        <v>1</v>
      </c>
      <c r="O60" s="502" t="str">
        <f t="shared" si="57"/>
        <v>paramProd3Lifetime</v>
      </c>
      <c r="P60" s="7">
        <f>COUNTIF(adj!$C55:$C363,$A60)</f>
        <v>0</v>
      </c>
      <c r="R60" s="7">
        <f>SUMIF(adj!$C$3:$C$311,$A60,adj!E$3:E$311)</f>
        <v>0</v>
      </c>
      <c r="S60" s="7">
        <f>SUMIF(adj!$C$3:$C$311,$A60,adj!F$3:F$311)</f>
        <v>0</v>
      </c>
      <c r="T60" s="7">
        <f>SUMIF(adj!$C$3:$C$311,$A60,adj!G$3:G$311)</f>
        <v>0</v>
      </c>
      <c r="U60" s="7">
        <f>SUMIF(adj!$C$3:$C$311,$A60,adj!H$3:H$311)</f>
        <v>0</v>
      </c>
      <c r="V60" s="7">
        <f>SUMIF(adj!$C$3:$C$311,$A60,adj!I$3:I$311)</f>
        <v>0</v>
      </c>
      <c r="W60" s="7">
        <f>SUMIF(adj!$C$3:$C$311,$A60,adj!J$3:J$311)</f>
        <v>0</v>
      </c>
      <c r="X60" s="7">
        <f>SUMIF(adj!$C$3:$C$311,$A60,adj!K$3:K$311)</f>
        <v>0</v>
      </c>
      <c r="Y60" s="7">
        <f>SUMIF(adj!$C$3:$C$311,$A60,adj!L$3:L$311)</f>
        <v>0</v>
      </c>
      <c r="Z60" s="7">
        <f>SUMIF(adj!$C$3:$C$311,$A60,adj!M$3:M$311)</f>
        <v>0</v>
      </c>
      <c r="AA60" s="7">
        <f>SUMIF(adj!$C$3:$C$311,$A60,adj!N$3:N$311)</f>
        <v>0</v>
      </c>
      <c r="AB60" s="7">
        <f>SUMIF(adj!$C$3:$C$311,$A60,adj!O$3:O$311)</f>
        <v>0</v>
      </c>
    </row>
    <row r="61" spans="1:28">
      <c r="A61" s="137" t="s">
        <v>1795</v>
      </c>
      <c r="B61" s="137" t="str">
        <f>nmProd1&amp;" Non-Cloud Lifetime"</f>
        <v>Productivity &amp; Business Non-Cloud Lifetime</v>
      </c>
      <c r="C61" s="135" t="s">
        <v>260</v>
      </c>
      <c r="D61" s="279">
        <v>2</v>
      </c>
      <c r="E61" s="842">
        <f t="shared" si="47"/>
        <v>2</v>
      </c>
      <c r="F61" s="842">
        <f t="shared" si="48"/>
        <v>2</v>
      </c>
      <c r="G61" s="842">
        <f t="shared" si="49"/>
        <v>2</v>
      </c>
      <c r="H61" s="842">
        <f t="shared" si="50"/>
        <v>2</v>
      </c>
      <c r="I61" s="842">
        <f t="shared" si="51"/>
        <v>2</v>
      </c>
      <c r="J61" s="842">
        <f t="shared" si="52"/>
        <v>2</v>
      </c>
      <c r="K61" s="842">
        <f t="shared" si="53"/>
        <v>2</v>
      </c>
      <c r="L61" s="842">
        <f t="shared" si="54"/>
        <v>2</v>
      </c>
      <c r="M61" s="842">
        <f t="shared" si="55"/>
        <v>2</v>
      </c>
      <c r="N61" s="842">
        <f t="shared" si="56"/>
        <v>2</v>
      </c>
      <c r="O61" s="502" t="str">
        <f t="shared" si="57"/>
        <v>paramProd1NonCloudLifetime</v>
      </c>
      <c r="P61" s="7">
        <f>COUNTIF(adj!$C56:$C364,$A61)</f>
        <v>0</v>
      </c>
      <c r="R61" s="7">
        <f>SUMIF(adj!$C$3:$C$311,$A61,adj!E$3:E$311)</f>
        <v>0</v>
      </c>
      <c r="S61" s="7">
        <f>SUMIF(adj!$C$3:$C$311,$A61,adj!F$3:F$311)</f>
        <v>0</v>
      </c>
      <c r="T61" s="7">
        <f>SUMIF(adj!$C$3:$C$311,$A61,adj!G$3:G$311)</f>
        <v>0</v>
      </c>
      <c r="U61" s="7">
        <f>SUMIF(adj!$C$3:$C$311,$A61,adj!H$3:H$311)</f>
        <v>0</v>
      </c>
      <c r="V61" s="7">
        <f>SUMIF(adj!$C$3:$C$311,$A61,adj!I$3:I$311)</f>
        <v>0</v>
      </c>
      <c r="W61" s="7">
        <f>SUMIF(adj!$C$3:$C$311,$A61,adj!J$3:J$311)</f>
        <v>0</v>
      </c>
      <c r="X61" s="7">
        <f>SUMIF(adj!$C$3:$C$311,$A61,adj!K$3:K$311)</f>
        <v>0</v>
      </c>
      <c r="Y61" s="7">
        <f>SUMIF(adj!$C$3:$C$311,$A61,adj!L$3:L$311)</f>
        <v>0</v>
      </c>
      <c r="Z61" s="7">
        <f>SUMIF(adj!$C$3:$C$311,$A61,adj!M$3:M$311)</f>
        <v>0</v>
      </c>
      <c r="AA61" s="7">
        <f>SUMIF(adj!$C$3:$C$311,$A61,adj!N$3:N$311)</f>
        <v>0</v>
      </c>
      <c r="AB61" s="7">
        <f>SUMIF(adj!$C$3:$C$311,$A61,adj!O$3:O$311)</f>
        <v>0</v>
      </c>
    </row>
    <row r="63" spans="1:28" s="47" customFormat="1">
      <c r="A63" s="8" t="s">
        <v>261</v>
      </c>
      <c r="B63" s="46"/>
      <c r="O63" s="46"/>
    </row>
  </sheetData>
  <pageMargins left="0.7" right="0.7" top="0.75" bottom="0.75" header="0.3" footer="0.3"/>
  <pageSetup paperSize="9" orientation="portrait" r:id="rId1"/>
  <rowBreaks count="1" manualBreakCount="1">
    <brk id="60" max="16383" man="1"/>
  </rowBreaks>
  <colBreaks count="1" manualBreakCount="1">
    <brk id="14" max="1048575" man="1"/>
  </col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sheetPr>
  <dimension ref="A1:U291"/>
  <sheetViews>
    <sheetView topLeftCell="A232" workbookViewId="0">
      <selection activeCell="E261" sqref="E261"/>
    </sheetView>
  </sheetViews>
  <sheetFormatPr defaultRowHeight="13.8"/>
  <cols>
    <col min="1" max="1" width="7.1796875" customWidth="1"/>
    <col min="5" max="5" width="15.453125" customWidth="1"/>
    <col min="6" max="8" width="15.453125" bestFit="1" customWidth="1"/>
    <col min="9" max="14" width="15.453125" customWidth="1"/>
  </cols>
  <sheetData>
    <row r="1" spans="1:21" s="874" customFormat="1" ht="16.2">
      <c r="A1" s="873" t="s">
        <v>110</v>
      </c>
      <c r="B1" s="873"/>
      <c r="E1" s="874" t="s">
        <v>7</v>
      </c>
      <c r="F1" s="874" t="s">
        <v>8</v>
      </c>
      <c r="G1" s="874" t="s">
        <v>9</v>
      </c>
      <c r="H1" s="874" t="s">
        <v>10</v>
      </c>
      <c r="I1" s="874" t="s">
        <v>11</v>
      </c>
      <c r="J1" s="874" t="s">
        <v>744</v>
      </c>
      <c r="K1" s="874" t="s">
        <v>745</v>
      </c>
      <c r="L1" s="874" t="s">
        <v>746</v>
      </c>
      <c r="M1" s="874" t="s">
        <v>747</v>
      </c>
      <c r="N1" s="874" t="s">
        <v>748</v>
      </c>
      <c r="P1" s="875"/>
      <c r="Q1" s="875"/>
      <c r="R1" s="875"/>
      <c r="S1" s="875"/>
      <c r="U1" s="873"/>
    </row>
    <row r="2" spans="1:21" s="874" customFormat="1" ht="16.2">
      <c r="A2" s="876" t="s">
        <v>2630</v>
      </c>
      <c r="B2" s="873"/>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3" t="s">
        <v>2654</v>
      </c>
      <c r="P2" s="875"/>
      <c r="Q2" s="875"/>
      <c r="R2" s="875"/>
      <c r="S2" s="875"/>
      <c r="U2" s="873"/>
    </row>
    <row r="3" spans="1:21">
      <c r="A3" s="13"/>
      <c r="E3" s="19"/>
      <c r="F3" s="19"/>
      <c r="G3" s="19"/>
      <c r="H3" s="19"/>
      <c r="I3" s="19"/>
      <c r="J3" s="19"/>
      <c r="K3" s="19"/>
      <c r="L3" s="19"/>
      <c r="M3" s="19"/>
      <c r="N3" s="19"/>
    </row>
    <row r="4" spans="1:21" s="11" customFormat="1">
      <c r="A4" s="11" t="s">
        <v>110</v>
      </c>
      <c r="E4" s="15" t="s">
        <v>7</v>
      </c>
      <c r="F4" s="15" t="s">
        <v>8</v>
      </c>
      <c r="G4" s="15" t="s">
        <v>9</v>
      </c>
      <c r="H4" s="15" t="s">
        <v>10</v>
      </c>
      <c r="I4" s="15" t="s">
        <v>11</v>
      </c>
      <c r="J4" s="15" t="s">
        <v>744</v>
      </c>
      <c r="K4" s="15" t="s">
        <v>745</v>
      </c>
      <c r="L4" s="15" t="s">
        <v>746</v>
      </c>
      <c r="M4" s="15" t="s">
        <v>747</v>
      </c>
      <c r="N4" s="15" t="s">
        <v>748</v>
      </c>
    </row>
    <row r="5" spans="1:21" s="16" customFormat="1">
      <c r="E5" s="17"/>
      <c r="F5" s="17"/>
      <c r="G5" s="17"/>
      <c r="H5" s="17"/>
      <c r="I5" s="17"/>
      <c r="J5" s="17"/>
      <c r="K5" s="17"/>
      <c r="L5" s="17"/>
      <c r="M5" s="17"/>
      <c r="N5" s="17"/>
    </row>
    <row r="6" spans="1:21">
      <c r="A6" s="13" t="str">
        <f>IF(Obal!A6=0,"",Obal!A6)</f>
        <v/>
      </c>
      <c r="E6" s="18"/>
      <c r="F6" s="18"/>
      <c r="G6" s="18"/>
      <c r="H6" s="18"/>
      <c r="I6" s="18"/>
      <c r="J6" s="18"/>
      <c r="K6" s="18"/>
      <c r="L6" s="18"/>
      <c r="M6" s="18"/>
      <c r="N6" s="18"/>
    </row>
    <row r="7" spans="1:21">
      <c r="A7" s="13" t="str">
        <f>IF(Obal!A7=0,"",Obal!A7)</f>
        <v>Team Name</v>
      </c>
      <c r="E7" t="str">
        <f t="shared" ref="E7:N7" si="0">decTeamName</f>
        <v>Nimbolt</v>
      </c>
      <c r="F7" t="str">
        <f t="shared" si="0"/>
        <v>Nimbolt</v>
      </c>
      <c r="G7" t="str">
        <f t="shared" si="0"/>
        <v>Nimbolt</v>
      </c>
      <c r="H7" t="str">
        <f t="shared" si="0"/>
        <v>Nimbolt</v>
      </c>
      <c r="I7" t="str">
        <f t="shared" si="0"/>
        <v>Nimbolt</v>
      </c>
      <c r="J7" t="str">
        <f t="shared" si="0"/>
        <v>Nimbolt</v>
      </c>
      <c r="K7" t="str">
        <f t="shared" si="0"/>
        <v>Nimbolt</v>
      </c>
      <c r="L7" t="str">
        <f t="shared" si="0"/>
        <v>Nimbolt</v>
      </c>
      <c r="M7" t="str">
        <f t="shared" si="0"/>
        <v>Nimbolt</v>
      </c>
      <c r="N7" t="str">
        <f t="shared" si="0"/>
        <v>Nimbolt</v>
      </c>
      <c r="O7" t="s">
        <v>2777</v>
      </c>
    </row>
    <row r="8" spans="1:21">
      <c r="A8" s="13" t="str">
        <f>IF(Obal!A8=0,"",Obal!A8)</f>
        <v/>
      </c>
    </row>
    <row r="9" spans="1:21">
      <c r="A9" s="13" t="str">
        <f>IF(Obal!A9=0,"",Obal!A9)</f>
        <v>Headcount &amp; Talent</v>
      </c>
      <c r="E9" s="19"/>
      <c r="F9" s="19"/>
      <c r="G9" s="19"/>
      <c r="H9" s="19"/>
      <c r="I9" s="19"/>
      <c r="J9" s="19"/>
      <c r="K9" s="19"/>
      <c r="L9" s="19"/>
      <c r="M9" s="19"/>
      <c r="N9" s="19"/>
    </row>
    <row r="10" spans="1:21">
      <c r="A10" s="13" t="str">
        <f>IF(Obal!A10=0,"",Obal!A10)</f>
        <v/>
      </c>
      <c r="B10" s="272" t="str">
        <f>IF(Obal!B10=0,"",Obal!B10)</f>
        <v>Headcount</v>
      </c>
      <c r="E10" s="30">
        <f t="shared" ref="E10:N10" si="1">IF(xxRound&gt;=1,2200,2400)</f>
        <v>2200</v>
      </c>
      <c r="F10" s="30">
        <f t="shared" si="1"/>
        <v>2200</v>
      </c>
      <c r="G10" s="30">
        <f t="shared" si="1"/>
        <v>2200</v>
      </c>
      <c r="H10" s="30">
        <f t="shared" si="1"/>
        <v>2200</v>
      </c>
      <c r="I10" s="30">
        <f t="shared" si="1"/>
        <v>2200</v>
      </c>
      <c r="J10" s="30">
        <f t="shared" si="1"/>
        <v>2200</v>
      </c>
      <c r="K10" s="30">
        <f t="shared" si="1"/>
        <v>2200</v>
      </c>
      <c r="L10" s="30">
        <f t="shared" si="1"/>
        <v>2200</v>
      </c>
      <c r="M10" s="30">
        <f t="shared" si="1"/>
        <v>2200</v>
      </c>
      <c r="N10" s="30">
        <f t="shared" si="1"/>
        <v>2200</v>
      </c>
      <c r="O10" t="s">
        <v>1010</v>
      </c>
    </row>
    <row r="11" spans="1:21">
      <c r="A11" s="13" t="str">
        <f>IF(Obal!A11=0,"",Obal!A11)</f>
        <v/>
      </c>
      <c r="B11" s="272" t="str">
        <f>IF(Obal!B11=0,"",Obal!B11)</f>
        <v>Execution</v>
      </c>
      <c r="E11" s="476">
        <f t="shared" ref="E11:N11" ca="1" si="2">calcExecution</f>
        <v>0.68185499999999999</v>
      </c>
      <c r="F11" s="476">
        <f t="shared" ca="1" si="2"/>
        <v>0.68185499999999999</v>
      </c>
      <c r="G11" s="476">
        <f t="shared" ca="1" si="2"/>
        <v>0.68185499999999999</v>
      </c>
      <c r="H11" s="476">
        <f t="shared" ca="1" si="2"/>
        <v>0.68185499999999999</v>
      </c>
      <c r="I11" s="476">
        <f t="shared" ca="1" si="2"/>
        <v>0.68185499999999999</v>
      </c>
      <c r="J11" s="476">
        <f t="shared" ca="1" si="2"/>
        <v>0.68185499999999999</v>
      </c>
      <c r="K11" s="476">
        <f t="shared" ca="1" si="2"/>
        <v>0.68185499999999999</v>
      </c>
      <c r="L11" s="476">
        <f t="shared" ca="1" si="2"/>
        <v>0.68185499999999999</v>
      </c>
      <c r="M11" s="476">
        <f t="shared" ca="1" si="2"/>
        <v>0.68185499999999999</v>
      </c>
      <c r="N11" s="476">
        <f t="shared" ca="1" si="2"/>
        <v>0.68185499999999999</v>
      </c>
      <c r="O11" t="s">
        <v>1011</v>
      </c>
    </row>
    <row r="12" spans="1:21">
      <c r="A12" s="13" t="str">
        <f>IF(Obal!A12=0,"",Obal!A12)</f>
        <v/>
      </c>
      <c r="B12" s="272" t="str">
        <f>IF(Obal!B12=0,"",Obal!B12)</f>
        <v>New Hire Productivity</v>
      </c>
      <c r="E12" s="476">
        <f t="shared" ref="E12:N12" si="3">obalNewHireProductivity</f>
        <v>0.5</v>
      </c>
      <c r="F12" s="476">
        <f t="shared" si="3"/>
        <v>0.5</v>
      </c>
      <c r="G12" s="476">
        <f t="shared" si="3"/>
        <v>0.5</v>
      </c>
      <c r="H12" s="476">
        <f t="shared" si="3"/>
        <v>0.5</v>
      </c>
      <c r="I12" s="476">
        <f t="shared" si="3"/>
        <v>0.5</v>
      </c>
      <c r="J12" s="476">
        <f t="shared" si="3"/>
        <v>0.5</v>
      </c>
      <c r="K12" s="476">
        <f t="shared" si="3"/>
        <v>0.5</v>
      </c>
      <c r="L12" s="476">
        <f t="shared" si="3"/>
        <v>0.5</v>
      </c>
      <c r="M12" s="476">
        <f t="shared" si="3"/>
        <v>0.5</v>
      </c>
      <c r="N12" s="476">
        <f t="shared" si="3"/>
        <v>0.5</v>
      </c>
      <c r="O12" t="s">
        <v>1012</v>
      </c>
    </row>
    <row r="13" spans="1:21">
      <c r="A13" s="13" t="str">
        <f>IF(Obal!A13=0,"",Obal!A13)</f>
        <v/>
      </c>
      <c r="B13" s="272" t="str">
        <f>IF(Obal!B13=0,"",Obal!B13)</f>
        <v>Engineering Time Units</v>
      </c>
      <c r="E13" s="477">
        <f t="shared" ref="E13:N13" si="4">obalETUs</f>
        <v>200</v>
      </c>
      <c r="F13" s="477">
        <f t="shared" si="4"/>
        <v>200</v>
      </c>
      <c r="G13" s="477">
        <f t="shared" si="4"/>
        <v>200</v>
      </c>
      <c r="H13" s="477">
        <f t="shared" si="4"/>
        <v>200</v>
      </c>
      <c r="I13" s="477">
        <f t="shared" si="4"/>
        <v>200</v>
      </c>
      <c r="J13" s="477">
        <f t="shared" si="4"/>
        <v>200</v>
      </c>
      <c r="K13" s="477">
        <f t="shared" si="4"/>
        <v>200</v>
      </c>
      <c r="L13" s="477">
        <f t="shared" si="4"/>
        <v>200</v>
      </c>
      <c r="M13" s="477">
        <f t="shared" si="4"/>
        <v>200</v>
      </c>
      <c r="N13" s="477">
        <f t="shared" si="4"/>
        <v>200</v>
      </c>
      <c r="O13" t="s">
        <v>1366</v>
      </c>
    </row>
    <row r="14" spans="1:21">
      <c r="A14" s="13" t="str">
        <f>IF(Obal!A14=0,"",Obal!A14)</f>
        <v/>
      </c>
      <c r="B14" s="272" t="str">
        <f>IF(Obal!B14=0,"",Obal!B14)</f>
        <v/>
      </c>
      <c r="E14" s="19"/>
      <c r="F14" s="19"/>
      <c r="G14" s="19"/>
      <c r="H14" s="19"/>
      <c r="I14" s="19"/>
      <c r="J14" s="19"/>
      <c r="K14" s="19"/>
      <c r="L14" s="19"/>
      <c r="M14" s="19"/>
      <c r="N14" s="19"/>
    </row>
    <row r="15" spans="1:21">
      <c r="A15" s="13" t="str">
        <f>IF(Obal!A15=0,"",Obal!A15)</f>
        <v>Ops</v>
      </c>
      <c r="B15" s="272" t="str">
        <f>IF(Obal!B15=0,"",Obal!B15)</f>
        <v/>
      </c>
      <c r="E15" s="30"/>
      <c r="F15" s="30"/>
      <c r="G15" s="30"/>
      <c r="H15" s="30"/>
      <c r="I15" s="30"/>
      <c r="J15" s="30"/>
      <c r="K15" s="30"/>
      <c r="L15" s="30"/>
      <c r="M15" s="30"/>
      <c r="N15" s="30"/>
    </row>
    <row r="16" spans="1:21">
      <c r="A16" s="13" t="str">
        <f>IF(Obal!A16=0,"",Obal!A16)</f>
        <v/>
      </c>
      <c r="B16" s="272" t="str">
        <f>IF(Obal!B16=0,"",Obal!B16)</f>
        <v>Productivity &amp; Business Enterprise Share</v>
      </c>
      <c r="E16" s="38">
        <f t="shared" ref="E16:N16" si="5">IF(xxSim0Tool1=1,decCommercialProd1Seg1Share,ROUND(mmSubProd1Seg1EndingShare,3))</f>
        <v>9.0000000000000024E-2</v>
      </c>
      <c r="F16" s="38">
        <f t="shared" si="5"/>
        <v>9.0000000000000024E-2</v>
      </c>
      <c r="G16" s="38">
        <f t="shared" si="5"/>
        <v>9.0000000000000024E-2</v>
      </c>
      <c r="H16" s="38">
        <f t="shared" si="5"/>
        <v>9.0000000000000024E-2</v>
      </c>
      <c r="I16" s="38">
        <f t="shared" si="5"/>
        <v>9.0000000000000024E-2</v>
      </c>
      <c r="J16" s="38">
        <f t="shared" si="5"/>
        <v>9.0000000000000024E-2</v>
      </c>
      <c r="K16" s="38">
        <f t="shared" si="5"/>
        <v>9.0000000000000024E-2</v>
      </c>
      <c r="L16" s="38">
        <f t="shared" si="5"/>
        <v>9.0000000000000024E-2</v>
      </c>
      <c r="M16" s="38">
        <f t="shared" si="5"/>
        <v>9.0000000000000024E-2</v>
      </c>
      <c r="N16" s="38">
        <f t="shared" si="5"/>
        <v>9.0000000000000024E-2</v>
      </c>
      <c r="O16" t="s">
        <v>1265</v>
      </c>
    </row>
    <row r="17" spans="1:15">
      <c r="A17" s="13" t="str">
        <f>IF(Obal!A17=0,"",Obal!A17)</f>
        <v/>
      </c>
      <c r="B17" s="272" t="str">
        <f>IF(Obal!B17=0,"",Obal!B17)</f>
        <v>Productivity &amp; Business SMC Share</v>
      </c>
      <c r="E17" s="38">
        <f t="shared" ref="E17:N17" si="6">IF(xxSim0Tool1=1,decCommercialProd1Seg2Share,ROUND(mmSubProd1Seg2EndingShare,3))</f>
        <v>9.0000000000000011E-2</v>
      </c>
      <c r="F17" s="38">
        <f t="shared" si="6"/>
        <v>9.0000000000000011E-2</v>
      </c>
      <c r="G17" s="38">
        <f t="shared" si="6"/>
        <v>9.0000000000000011E-2</v>
      </c>
      <c r="H17" s="38">
        <f t="shared" si="6"/>
        <v>9.0000000000000011E-2</v>
      </c>
      <c r="I17" s="38">
        <f t="shared" si="6"/>
        <v>9.0000000000000011E-2</v>
      </c>
      <c r="J17" s="38">
        <f t="shared" si="6"/>
        <v>9.0000000000000011E-2</v>
      </c>
      <c r="K17" s="38">
        <f t="shared" si="6"/>
        <v>9.0000000000000011E-2</v>
      </c>
      <c r="L17" s="38">
        <f t="shared" si="6"/>
        <v>9.0000000000000011E-2</v>
      </c>
      <c r="M17" s="38">
        <f t="shared" si="6"/>
        <v>9.0000000000000011E-2</v>
      </c>
      <c r="N17" s="38">
        <f t="shared" si="6"/>
        <v>9.0000000000000011E-2</v>
      </c>
      <c r="O17" t="s">
        <v>1266</v>
      </c>
    </row>
    <row r="18" spans="1:15">
      <c r="A18" s="13" t="str">
        <f>IF(Obal!A18=0,"",Obal!A18)</f>
        <v/>
      </c>
      <c r="B18" s="272" t="str">
        <f>IF(Obal!B18=0,"",Obal!B18)</f>
        <v>Productivity &amp; Business Consumer Share</v>
      </c>
      <c r="E18" s="38">
        <f t="shared" ref="E18:N18" si="7">IF(xxSim0Tool1=1,decConsumerProd1Seg3Share,ROUND(mmSubProd1Seg3EndingShare,3))</f>
        <v>9.0000000000000011E-2</v>
      </c>
      <c r="F18" s="38">
        <f t="shared" si="7"/>
        <v>9.0000000000000011E-2</v>
      </c>
      <c r="G18" s="38">
        <f t="shared" si="7"/>
        <v>9.0000000000000011E-2</v>
      </c>
      <c r="H18" s="38">
        <f t="shared" si="7"/>
        <v>9.0000000000000011E-2</v>
      </c>
      <c r="I18" s="38">
        <f t="shared" si="7"/>
        <v>9.0000000000000011E-2</v>
      </c>
      <c r="J18" s="38">
        <f t="shared" si="7"/>
        <v>9.0000000000000011E-2</v>
      </c>
      <c r="K18" s="38">
        <f t="shared" si="7"/>
        <v>9.0000000000000011E-2</v>
      </c>
      <c r="L18" s="38">
        <f t="shared" si="7"/>
        <v>9.0000000000000011E-2</v>
      </c>
      <c r="M18" s="38">
        <f t="shared" si="7"/>
        <v>9.0000000000000011E-2</v>
      </c>
      <c r="N18" s="38">
        <f t="shared" si="7"/>
        <v>9.0000000000000011E-2</v>
      </c>
      <c r="O18" t="s">
        <v>1267</v>
      </c>
    </row>
    <row r="19" spans="1:15">
      <c r="A19" s="13" t="str">
        <f>IF(Obal!A19=0,"",Obal!A19)</f>
        <v/>
      </c>
      <c r="B19" s="272" t="str">
        <f>IF(Obal!B19=0,"",Obal!B19)</f>
        <v>Intelligent Cloud Enterprise Share</v>
      </c>
      <c r="E19" s="38">
        <f t="shared" ref="E19:N19" si="8">IF(xxSim0Tool1=1,decCommercialProd2Seg1Share,ROUND(mmSubProd2Seg1EndingShare,3))</f>
        <v>9.0000000000000024E-2</v>
      </c>
      <c r="F19" s="38">
        <f t="shared" si="8"/>
        <v>9.0000000000000024E-2</v>
      </c>
      <c r="G19" s="38">
        <f t="shared" si="8"/>
        <v>9.0000000000000024E-2</v>
      </c>
      <c r="H19" s="38">
        <f t="shared" si="8"/>
        <v>9.0000000000000024E-2</v>
      </c>
      <c r="I19" s="38">
        <f t="shared" si="8"/>
        <v>9.0000000000000024E-2</v>
      </c>
      <c r="J19" s="38">
        <f t="shared" si="8"/>
        <v>9.0000000000000024E-2</v>
      </c>
      <c r="K19" s="38">
        <f t="shared" si="8"/>
        <v>9.0000000000000024E-2</v>
      </c>
      <c r="L19" s="38">
        <f t="shared" si="8"/>
        <v>9.0000000000000024E-2</v>
      </c>
      <c r="M19" s="38">
        <f t="shared" si="8"/>
        <v>9.0000000000000024E-2</v>
      </c>
      <c r="N19" s="38">
        <f t="shared" si="8"/>
        <v>9.0000000000000024E-2</v>
      </c>
      <c r="O19" t="s">
        <v>1268</v>
      </c>
    </row>
    <row r="20" spans="1:15">
      <c r="A20" s="13" t="str">
        <f>IF(Obal!A20=0,"",Obal!A20)</f>
        <v/>
      </c>
      <c r="B20" s="272" t="str">
        <f>IF(Obal!B20=0,"",Obal!B20)</f>
        <v>Intelligent Cloud SMC Share</v>
      </c>
      <c r="E20" s="38">
        <f t="shared" ref="E20:N20" si="9">IF(xxSim0Tool1=1,decCommercialProd2Seg2Share,ROUND(mmSubProd2Seg2EndingShare,3))</f>
        <v>9.0000000000000011E-2</v>
      </c>
      <c r="F20" s="38">
        <f t="shared" si="9"/>
        <v>9.0000000000000011E-2</v>
      </c>
      <c r="G20" s="38">
        <f t="shared" si="9"/>
        <v>9.0000000000000011E-2</v>
      </c>
      <c r="H20" s="38">
        <f t="shared" si="9"/>
        <v>9.0000000000000011E-2</v>
      </c>
      <c r="I20" s="38">
        <f t="shared" si="9"/>
        <v>9.0000000000000011E-2</v>
      </c>
      <c r="J20" s="38">
        <f t="shared" si="9"/>
        <v>9.0000000000000011E-2</v>
      </c>
      <c r="K20" s="38">
        <f t="shared" si="9"/>
        <v>9.0000000000000011E-2</v>
      </c>
      <c r="L20" s="38">
        <f t="shared" si="9"/>
        <v>9.0000000000000011E-2</v>
      </c>
      <c r="M20" s="38">
        <f t="shared" si="9"/>
        <v>9.0000000000000011E-2</v>
      </c>
      <c r="N20" s="38">
        <f t="shared" si="9"/>
        <v>9.0000000000000011E-2</v>
      </c>
      <c r="O20" t="s">
        <v>1269</v>
      </c>
    </row>
    <row r="21" spans="1:15">
      <c r="A21" s="13" t="str">
        <f>IF(Obal!A21=0,"",Obal!A21)</f>
        <v/>
      </c>
      <c r="B21" s="272" t="str">
        <f>IF(Obal!B21=0,"",Obal!B21)</f>
        <v>Personal Computing Enterprise Share</v>
      </c>
      <c r="E21" s="38">
        <f t="shared" ref="E21:N21" si="10">IF(xxSim0Tool1=1,decCommercialProd3Seg1Share,ROUND(mmProd3Seg1EndingShare,3))</f>
        <v>9.0000000000000011E-2</v>
      </c>
      <c r="F21" s="38">
        <f t="shared" si="10"/>
        <v>9.0000000000000011E-2</v>
      </c>
      <c r="G21" s="38">
        <f t="shared" si="10"/>
        <v>9.0000000000000011E-2</v>
      </c>
      <c r="H21" s="38">
        <f t="shared" si="10"/>
        <v>9.0000000000000011E-2</v>
      </c>
      <c r="I21" s="38">
        <f t="shared" si="10"/>
        <v>9.0000000000000011E-2</v>
      </c>
      <c r="J21" s="38">
        <f t="shared" si="10"/>
        <v>9.0000000000000011E-2</v>
      </c>
      <c r="K21" s="38">
        <f t="shared" si="10"/>
        <v>9.0000000000000011E-2</v>
      </c>
      <c r="L21" s="38">
        <f t="shared" si="10"/>
        <v>9.0000000000000011E-2</v>
      </c>
      <c r="M21" s="38">
        <f t="shared" si="10"/>
        <v>9.0000000000000011E-2</v>
      </c>
      <c r="N21" s="38">
        <f t="shared" si="10"/>
        <v>9.0000000000000011E-2</v>
      </c>
      <c r="O21" t="s">
        <v>1270</v>
      </c>
    </row>
    <row r="22" spans="1:15">
      <c r="A22" s="13" t="str">
        <f>IF(Obal!A22=0,"",Obal!A22)</f>
        <v/>
      </c>
      <c r="B22" s="272" t="str">
        <f>IF(Obal!B22=0,"",Obal!B22)</f>
        <v>Personal Computing SMC Share</v>
      </c>
      <c r="E22" s="38">
        <f t="shared" ref="E22:N22" si="11">IF(xxSim0Tool1=1,decCommercialProd3Seg2Share,ROUND(mmProd3Seg2EndingShare,3))</f>
        <v>9.0000000000000011E-2</v>
      </c>
      <c r="F22" s="38">
        <f t="shared" si="11"/>
        <v>9.0000000000000011E-2</v>
      </c>
      <c r="G22" s="38">
        <f t="shared" si="11"/>
        <v>9.0000000000000011E-2</v>
      </c>
      <c r="H22" s="38">
        <f t="shared" si="11"/>
        <v>9.0000000000000011E-2</v>
      </c>
      <c r="I22" s="38">
        <f t="shared" si="11"/>
        <v>9.0000000000000011E-2</v>
      </c>
      <c r="J22" s="38">
        <f t="shared" si="11"/>
        <v>9.0000000000000011E-2</v>
      </c>
      <c r="K22" s="38">
        <f t="shared" si="11"/>
        <v>9.0000000000000011E-2</v>
      </c>
      <c r="L22" s="38">
        <f t="shared" si="11"/>
        <v>9.0000000000000011E-2</v>
      </c>
      <c r="M22" s="38">
        <f t="shared" si="11"/>
        <v>9.0000000000000011E-2</v>
      </c>
      <c r="N22" s="38">
        <f t="shared" si="11"/>
        <v>9.0000000000000011E-2</v>
      </c>
      <c r="O22" t="s">
        <v>1271</v>
      </c>
    </row>
    <row r="23" spans="1:15">
      <c r="A23" s="13" t="str">
        <f>IF(Obal!A23=0,"",Obal!A23)</f>
        <v/>
      </c>
      <c r="B23" s="272" t="str">
        <f>IF(Obal!B23=0,"",Obal!B23)</f>
        <v>Personal Computing Consumer Share</v>
      </c>
      <c r="E23" s="38">
        <f t="shared" ref="E23:N23" si="12">IF(xxSim0Tool1=1,decConsumerProd3Seg3Share,ROUND(mmProd3Seg3EndingShare,3))</f>
        <v>9.0000000000000011E-2</v>
      </c>
      <c r="F23" s="38">
        <f t="shared" si="12"/>
        <v>9.0000000000000011E-2</v>
      </c>
      <c r="G23" s="38">
        <f t="shared" si="12"/>
        <v>9.0000000000000011E-2</v>
      </c>
      <c r="H23" s="38">
        <f t="shared" si="12"/>
        <v>9.0000000000000011E-2</v>
      </c>
      <c r="I23" s="38">
        <f t="shared" si="12"/>
        <v>9.0000000000000011E-2</v>
      </c>
      <c r="J23" s="38">
        <f t="shared" si="12"/>
        <v>9.0000000000000011E-2</v>
      </c>
      <c r="K23" s="38">
        <f t="shared" si="12"/>
        <v>9.0000000000000011E-2</v>
      </c>
      <c r="L23" s="38">
        <f t="shared" si="12"/>
        <v>9.0000000000000011E-2</v>
      </c>
      <c r="M23" s="38">
        <f t="shared" si="12"/>
        <v>9.0000000000000011E-2</v>
      </c>
      <c r="N23" s="38">
        <f t="shared" si="12"/>
        <v>9.0000000000000011E-2</v>
      </c>
      <c r="O23" t="s">
        <v>1272</v>
      </c>
    </row>
    <row r="24" spans="1:15">
      <c r="A24" s="13" t="str">
        <f>IF(Obal!A24=0,"",Obal!A24)</f>
        <v/>
      </c>
      <c r="B24" s="272" t="str">
        <f>IF(Obal!B24=0,"",Obal!B24)</f>
        <v/>
      </c>
      <c r="E24" s="19"/>
      <c r="F24" s="19"/>
      <c r="G24" s="19"/>
      <c r="H24" s="19"/>
      <c r="I24" s="19"/>
      <c r="J24" s="19"/>
      <c r="K24" s="19"/>
      <c r="L24" s="19"/>
      <c r="M24" s="19"/>
      <c r="N24" s="19"/>
    </row>
    <row r="25" spans="1:15">
      <c r="A25" s="13" t="str">
        <f>IF(Obal!A25=0,"",Obal!A25)</f>
        <v/>
      </c>
      <c r="B25" s="272" t="str">
        <f>IF(Obal!B25=0,"",Obal!B25)</f>
        <v>Marketing Budget</v>
      </c>
      <c r="E25" s="488">
        <f t="shared" ref="E25:N25" si="13">calcOpsTotalMarketingExp</f>
        <v>1500000</v>
      </c>
      <c r="F25" s="488">
        <f t="shared" si="13"/>
        <v>1500000</v>
      </c>
      <c r="G25" s="488">
        <f t="shared" si="13"/>
        <v>1500000</v>
      </c>
      <c r="H25" s="488">
        <f t="shared" si="13"/>
        <v>1500000</v>
      </c>
      <c r="I25" s="488">
        <f t="shared" si="13"/>
        <v>1500000</v>
      </c>
      <c r="J25" s="488">
        <f t="shared" si="13"/>
        <v>1500000</v>
      </c>
      <c r="K25" s="488">
        <f t="shared" si="13"/>
        <v>1500000</v>
      </c>
      <c r="L25" s="488">
        <f t="shared" si="13"/>
        <v>1500000</v>
      </c>
      <c r="M25" s="488">
        <f t="shared" si="13"/>
        <v>1500000</v>
      </c>
      <c r="N25" s="488">
        <f t="shared" si="13"/>
        <v>1500000</v>
      </c>
      <c r="O25" t="s">
        <v>1273</v>
      </c>
    </row>
    <row r="26" spans="1:15">
      <c r="A26" s="13" t="str">
        <f>IF(Obal!A26=0,"",Obal!A26)</f>
        <v/>
      </c>
      <c r="B26" s="272" t="str">
        <f>IF(Obal!B26=0,"",Obal!B26)</f>
        <v/>
      </c>
    </row>
    <row r="27" spans="1:15">
      <c r="A27" s="13" t="str">
        <f>IF(Obal!A27=0,"",Obal!A27)</f>
        <v/>
      </c>
      <c r="B27" s="272" t="str">
        <f>IF(Obal!B27=0,"",Obal!B27)</f>
        <v>Collaboration FTEs</v>
      </c>
      <c r="E27" s="19">
        <f t="shared" ref="E27:N27" si="14">decOpsCollabFTEs</f>
        <v>10</v>
      </c>
      <c r="F27" s="19">
        <f t="shared" si="14"/>
        <v>10</v>
      </c>
      <c r="G27" s="19">
        <f t="shared" si="14"/>
        <v>10</v>
      </c>
      <c r="H27" s="19">
        <f t="shared" si="14"/>
        <v>10</v>
      </c>
      <c r="I27" s="19">
        <f t="shared" si="14"/>
        <v>10</v>
      </c>
      <c r="J27" s="19">
        <f t="shared" si="14"/>
        <v>10</v>
      </c>
      <c r="K27" s="19">
        <f t="shared" si="14"/>
        <v>10</v>
      </c>
      <c r="L27" s="19">
        <f t="shared" si="14"/>
        <v>10</v>
      </c>
      <c r="M27" s="19">
        <f t="shared" si="14"/>
        <v>10</v>
      </c>
      <c r="N27" s="19">
        <f t="shared" si="14"/>
        <v>10</v>
      </c>
      <c r="O27" t="s">
        <v>2763</v>
      </c>
    </row>
    <row r="28" spans="1:15">
      <c r="A28" s="13" t="str">
        <f>IF(Obal!A28=0,"",Obal!A28)</f>
        <v/>
      </c>
      <c r="B28" s="272" t="str">
        <f>IF(Obal!B28=0,"",Obal!B28)</f>
        <v/>
      </c>
    </row>
    <row r="29" spans="1:15">
      <c r="A29" s="13" t="str">
        <f>IF(Obal!A29=0,"",Obal!A29)</f>
        <v/>
      </c>
      <c r="B29" s="272" t="str">
        <f>IF(Obal!B29=0,"",Obal!B29)</f>
        <v>IT FTEs</v>
      </c>
      <c r="E29" s="19">
        <f t="shared" ref="E29:N29" si="15">decOpsITFTEs</f>
        <v>15</v>
      </c>
      <c r="F29" s="19">
        <f t="shared" si="15"/>
        <v>15</v>
      </c>
      <c r="G29" s="19">
        <f t="shared" si="15"/>
        <v>15</v>
      </c>
      <c r="H29" s="19">
        <f t="shared" si="15"/>
        <v>15</v>
      </c>
      <c r="I29" s="19">
        <f t="shared" si="15"/>
        <v>15</v>
      </c>
      <c r="J29" s="19">
        <f t="shared" si="15"/>
        <v>15</v>
      </c>
      <c r="K29" s="19">
        <f t="shared" si="15"/>
        <v>15</v>
      </c>
      <c r="L29" s="19">
        <f t="shared" si="15"/>
        <v>15</v>
      </c>
      <c r="M29" s="19">
        <f t="shared" si="15"/>
        <v>15</v>
      </c>
      <c r="N29" s="19">
        <f t="shared" si="15"/>
        <v>15</v>
      </c>
      <c r="O29" t="s">
        <v>1323</v>
      </c>
    </row>
    <row r="30" spans="1:15">
      <c r="A30" s="13" t="str">
        <f>IF(Obal!A30=0,"",Obal!A30)</f>
        <v/>
      </c>
      <c r="B30" s="272" t="str">
        <f>IF(Obal!B30=0,"",Obal!B30)</f>
        <v>Global Demand Center FTEs</v>
      </c>
      <c r="E30" s="19">
        <f t="shared" ref="E30:N30" si="16">decOpsGlobalDemandCenterFTEs</f>
        <v>40</v>
      </c>
      <c r="F30" s="19">
        <f t="shared" si="16"/>
        <v>40</v>
      </c>
      <c r="G30" s="19">
        <f t="shared" si="16"/>
        <v>40</v>
      </c>
      <c r="H30" s="19">
        <f t="shared" si="16"/>
        <v>40</v>
      </c>
      <c r="I30" s="19">
        <f t="shared" si="16"/>
        <v>40</v>
      </c>
      <c r="J30" s="19">
        <f t="shared" si="16"/>
        <v>40</v>
      </c>
      <c r="K30" s="19">
        <f t="shared" si="16"/>
        <v>40</v>
      </c>
      <c r="L30" s="19">
        <f t="shared" si="16"/>
        <v>40</v>
      </c>
      <c r="M30" s="19">
        <f t="shared" si="16"/>
        <v>40</v>
      </c>
      <c r="N30" s="19">
        <f t="shared" si="16"/>
        <v>40</v>
      </c>
      <c r="O30" t="s">
        <v>3269</v>
      </c>
    </row>
    <row r="31" spans="1:15">
      <c r="A31" s="13" t="str">
        <f>IF(Obal!A31=0,"",Obal!A31)</f>
        <v/>
      </c>
      <c r="B31" s="272" t="str">
        <f>IF(Obal!B31=0,"",Obal!B31)</f>
        <v>Supply Chain FTEs</v>
      </c>
      <c r="E31" s="19">
        <f t="shared" ref="E31:N31" si="17">decOpsSupplyChainFTEs</f>
        <v>10</v>
      </c>
      <c r="F31" s="19">
        <f t="shared" si="17"/>
        <v>10</v>
      </c>
      <c r="G31" s="19">
        <f t="shared" si="17"/>
        <v>10</v>
      </c>
      <c r="H31" s="19">
        <f t="shared" si="17"/>
        <v>10</v>
      </c>
      <c r="I31" s="19">
        <f t="shared" si="17"/>
        <v>10</v>
      </c>
      <c r="J31" s="19">
        <f t="shared" si="17"/>
        <v>10</v>
      </c>
      <c r="K31" s="19">
        <f t="shared" si="17"/>
        <v>10</v>
      </c>
      <c r="L31" s="19">
        <f t="shared" si="17"/>
        <v>10</v>
      </c>
      <c r="M31" s="19">
        <f t="shared" si="17"/>
        <v>10</v>
      </c>
      <c r="N31" s="19">
        <f t="shared" si="17"/>
        <v>10</v>
      </c>
      <c r="O31" t="s">
        <v>1324</v>
      </c>
    </row>
    <row r="32" spans="1:15">
      <c r="A32" s="13" t="str">
        <f>IF(Obal!A32=0,"",Obal!A32)</f>
        <v/>
      </c>
      <c r="B32" s="272" t="str">
        <f>IF(Obal!B32=0,"",Obal!B32)</f>
        <v/>
      </c>
    </row>
    <row r="33" spans="1:15">
      <c r="A33" s="13" t="str">
        <f>IF(Obal!A33=0,"",Obal!A33)</f>
        <v/>
      </c>
      <c r="B33" s="272" t="str">
        <f>IF(Obal!B33=0,"",Obal!B33)</f>
        <v>Data Center</v>
      </c>
      <c r="E33" s="19">
        <f t="shared" ref="E33:N33" si="18">calcDataCenterInvestCum</f>
        <v>1</v>
      </c>
      <c r="F33" s="19">
        <f t="shared" si="18"/>
        <v>1</v>
      </c>
      <c r="G33" s="19">
        <f t="shared" si="18"/>
        <v>1</v>
      </c>
      <c r="H33" s="19">
        <f t="shared" si="18"/>
        <v>1</v>
      </c>
      <c r="I33" s="19">
        <f t="shared" si="18"/>
        <v>1</v>
      </c>
      <c r="J33" s="19">
        <f t="shared" si="18"/>
        <v>1</v>
      </c>
      <c r="K33" s="19">
        <f t="shared" si="18"/>
        <v>1</v>
      </c>
      <c r="L33" s="19">
        <f t="shared" si="18"/>
        <v>1</v>
      </c>
      <c r="M33" s="19">
        <f t="shared" si="18"/>
        <v>1</v>
      </c>
      <c r="N33" s="19">
        <f t="shared" si="18"/>
        <v>1</v>
      </c>
      <c r="O33" t="s">
        <v>1483</v>
      </c>
    </row>
    <row r="34" spans="1:15">
      <c r="A34" s="13" t="str">
        <f>IF(Obal!A34=0,"",Obal!A34)</f>
        <v/>
      </c>
      <c r="B34" s="272" t="str">
        <f>IF(Obal!B34=0,"",Obal!B34)</f>
        <v>Data Center Value</v>
      </c>
      <c r="E34" s="496">
        <f t="shared" ref="E34:N34" si="19">calcDataCenterValue</f>
        <v>16000000</v>
      </c>
      <c r="F34" s="496">
        <f t="shared" si="19"/>
        <v>20000000</v>
      </c>
      <c r="G34" s="496">
        <f t="shared" si="19"/>
        <v>20000000</v>
      </c>
      <c r="H34" s="496">
        <f t="shared" si="19"/>
        <v>20000000</v>
      </c>
      <c r="I34" s="496">
        <f t="shared" si="19"/>
        <v>20000000</v>
      </c>
      <c r="J34" s="496">
        <f t="shared" si="19"/>
        <v>20000000</v>
      </c>
      <c r="K34" s="496">
        <f t="shared" si="19"/>
        <v>20000000</v>
      </c>
      <c r="L34" s="496">
        <f t="shared" si="19"/>
        <v>20000000</v>
      </c>
      <c r="M34" s="496">
        <f t="shared" si="19"/>
        <v>20000000</v>
      </c>
      <c r="N34" s="496">
        <f t="shared" si="19"/>
        <v>20000000</v>
      </c>
      <c r="O34" t="s">
        <v>1518</v>
      </c>
    </row>
    <row r="35" spans="1:15">
      <c r="A35" s="13" t="str">
        <f>IF(Obal!A35=0,"",Obal!A35)</f>
        <v/>
      </c>
      <c r="B35" s="272" t="str">
        <f>IF(Obal!B35=0,"",Obal!B35)</f>
        <v>Data Center Utilization</v>
      </c>
      <c r="E35" s="476">
        <f t="shared" ref="E35:N35" si="20">calcDataCenterUtilization</f>
        <v>0.66308959442397486</v>
      </c>
      <c r="F35" s="476">
        <f t="shared" si="20"/>
        <v>0.66308959442397486</v>
      </c>
      <c r="G35" s="476">
        <f t="shared" si="20"/>
        <v>0.66308959442397486</v>
      </c>
      <c r="H35" s="476">
        <f t="shared" si="20"/>
        <v>0.66308959442397486</v>
      </c>
      <c r="I35" s="476">
        <f t="shared" si="20"/>
        <v>0.66308959442397486</v>
      </c>
      <c r="J35" s="476">
        <f t="shared" si="20"/>
        <v>0.66308959442397486</v>
      </c>
      <c r="K35" s="476">
        <f t="shared" si="20"/>
        <v>0.66308959442397486</v>
      </c>
      <c r="L35" s="476">
        <f t="shared" si="20"/>
        <v>0.66308959442397486</v>
      </c>
      <c r="M35" s="476">
        <f t="shared" si="20"/>
        <v>0.66308959442397486</v>
      </c>
      <c r="N35" s="476">
        <f t="shared" si="20"/>
        <v>0.66308959442397486</v>
      </c>
      <c r="O35" t="s">
        <v>2102</v>
      </c>
    </row>
    <row r="36" spans="1:15">
      <c r="A36" s="13" t="str">
        <f>IF(Obal!A36=0,"",Obal!A36)</f>
        <v/>
      </c>
      <c r="B36" s="272" t="str">
        <f>IF(Obal!B36=0,"",Obal!B36)</f>
        <v/>
      </c>
    </row>
    <row r="37" spans="1:15">
      <c r="A37" s="13" t="str">
        <f>IF(Obal!A37=0,"",Obal!A37)</f>
        <v>EG</v>
      </c>
      <c r="B37" s="272" t="str">
        <f>IF(Obal!B37=0,"",Obal!B37)</f>
        <v/>
      </c>
    </row>
    <row r="38" spans="1:15">
      <c r="A38" s="13" t="str">
        <f>IF(Obal!A38=0,"",Obal!A38)</f>
        <v/>
      </c>
      <c r="B38" s="272" t="str">
        <f>IF(Obal!B38=0,"",Obal!B38)</f>
        <v>Security</v>
      </c>
      <c r="E38" s="1161">
        <f t="shared" ref="E38:N38" si="21">calcEGSecurityInvestment</f>
        <v>7</v>
      </c>
      <c r="F38" s="1161">
        <f t="shared" si="21"/>
        <v>7</v>
      </c>
      <c r="G38" s="1161">
        <f t="shared" si="21"/>
        <v>7</v>
      </c>
      <c r="H38" s="1161">
        <f t="shared" si="21"/>
        <v>7</v>
      </c>
      <c r="I38" s="1161">
        <f t="shared" si="21"/>
        <v>7</v>
      </c>
      <c r="J38" s="1161">
        <f t="shared" si="21"/>
        <v>7</v>
      </c>
      <c r="K38" s="1161">
        <f t="shared" si="21"/>
        <v>7</v>
      </c>
      <c r="L38" s="1161">
        <f t="shared" si="21"/>
        <v>7</v>
      </c>
      <c r="M38" s="1161">
        <f t="shared" si="21"/>
        <v>7</v>
      </c>
      <c r="N38" s="1161">
        <f t="shared" si="21"/>
        <v>7</v>
      </c>
      <c r="O38" t="s">
        <v>1052</v>
      </c>
    </row>
    <row r="39" spans="1:15">
      <c r="A39" s="13" t="str">
        <f>IF(Obal!A39=0,"",Obal!A39)</f>
        <v/>
      </c>
      <c r="B39" s="272" t="str">
        <f>IF(Obal!B39=0,"",Obal!B39)</f>
        <v>Scalability</v>
      </c>
      <c r="E39" s="1161">
        <f t="shared" ref="E39:N39" si="22">calcEGScalabilityInvestment</f>
        <v>5</v>
      </c>
      <c r="F39" s="1161">
        <f t="shared" si="22"/>
        <v>5</v>
      </c>
      <c r="G39" s="1161">
        <f t="shared" si="22"/>
        <v>5</v>
      </c>
      <c r="H39" s="1161">
        <f t="shared" si="22"/>
        <v>5</v>
      </c>
      <c r="I39" s="1161">
        <f t="shared" si="22"/>
        <v>5</v>
      </c>
      <c r="J39" s="1161">
        <f t="shared" si="22"/>
        <v>5</v>
      </c>
      <c r="K39" s="1161">
        <f t="shared" si="22"/>
        <v>5</v>
      </c>
      <c r="L39" s="1161">
        <f t="shared" si="22"/>
        <v>5</v>
      </c>
      <c r="M39" s="1161">
        <f t="shared" si="22"/>
        <v>5</v>
      </c>
      <c r="N39" s="1161">
        <f t="shared" si="22"/>
        <v>5</v>
      </c>
      <c r="O39" t="s">
        <v>1053</v>
      </c>
    </row>
    <row r="40" spans="1:15">
      <c r="A40" s="13" t="str">
        <f>IF(Obal!A40=0,"",Obal!A40)</f>
        <v/>
      </c>
      <c r="B40" s="272" t="str">
        <f>IF(Obal!B40=0,"",Obal!B40)</f>
        <v>Interoperability</v>
      </c>
      <c r="E40" s="1161">
        <f t="shared" ref="E40:N40" si="23">calcEGInteroperabilityInvestment</f>
        <v>4</v>
      </c>
      <c r="F40" s="1161">
        <f t="shared" si="23"/>
        <v>4</v>
      </c>
      <c r="G40" s="1161">
        <f t="shared" si="23"/>
        <v>4</v>
      </c>
      <c r="H40" s="1161">
        <f t="shared" si="23"/>
        <v>4</v>
      </c>
      <c r="I40" s="1161">
        <f t="shared" si="23"/>
        <v>4</v>
      </c>
      <c r="J40" s="1161">
        <f t="shared" si="23"/>
        <v>4</v>
      </c>
      <c r="K40" s="1161">
        <f t="shared" si="23"/>
        <v>4</v>
      </c>
      <c r="L40" s="1161">
        <f t="shared" si="23"/>
        <v>4</v>
      </c>
      <c r="M40" s="1161">
        <f t="shared" si="23"/>
        <v>4</v>
      </c>
      <c r="N40" s="1161">
        <f t="shared" si="23"/>
        <v>4</v>
      </c>
      <c r="O40" t="s">
        <v>1054</v>
      </c>
    </row>
    <row r="41" spans="1:15">
      <c r="A41" s="13"/>
      <c r="B41" s="272" t="str">
        <f>IF(Obal!B41=0,"",Obal!B41)</f>
        <v/>
      </c>
      <c r="E41" s="1161"/>
      <c r="F41" s="1161"/>
      <c r="G41" s="1161"/>
      <c r="H41" s="1161"/>
      <c r="I41" s="1161"/>
      <c r="J41" s="1161"/>
      <c r="K41" s="1161"/>
      <c r="L41" s="1161"/>
      <c r="M41" s="494"/>
      <c r="N41" s="494"/>
    </row>
    <row r="42" spans="1:15">
      <c r="A42" s="13" t="str">
        <f>IF(Obal!A42=0,"",Obal!A42)</f>
        <v/>
      </c>
      <c r="B42" s="272" t="str">
        <f>IF(Obal!B42=0,"",Obal!B42)</f>
        <v>Workspace 365</v>
      </c>
      <c r="E42" s="1161">
        <f t="shared" ref="E42:N42" si="24">calcEGProd1Offering1Investment</f>
        <v>8</v>
      </c>
      <c r="F42" s="1161">
        <f t="shared" si="24"/>
        <v>8</v>
      </c>
      <c r="G42" s="1161">
        <f t="shared" si="24"/>
        <v>8</v>
      </c>
      <c r="H42" s="1161">
        <f t="shared" si="24"/>
        <v>8</v>
      </c>
      <c r="I42" s="1161">
        <f t="shared" si="24"/>
        <v>8</v>
      </c>
      <c r="J42" s="1161">
        <f t="shared" si="24"/>
        <v>8</v>
      </c>
      <c r="K42" s="1161">
        <f t="shared" si="24"/>
        <v>8</v>
      </c>
      <c r="L42" s="1161">
        <f t="shared" si="24"/>
        <v>8</v>
      </c>
      <c r="M42" s="1161">
        <f t="shared" si="24"/>
        <v>8</v>
      </c>
      <c r="N42" s="1161">
        <f t="shared" si="24"/>
        <v>8</v>
      </c>
      <c r="O42" t="s">
        <v>1055</v>
      </c>
    </row>
    <row r="43" spans="1:15">
      <c r="A43" s="13"/>
      <c r="B43" s="272" t="str">
        <f>IF(Obal!B43=0,"",Obal!B43)</f>
        <v>Dynamo 365</v>
      </c>
      <c r="E43" s="1161">
        <f t="shared" ref="E43:N43" si="25">calcEGProd1Offering2Investment</f>
        <v>6</v>
      </c>
      <c r="F43" s="1161">
        <f t="shared" si="25"/>
        <v>6</v>
      </c>
      <c r="G43" s="1161">
        <f t="shared" si="25"/>
        <v>6</v>
      </c>
      <c r="H43" s="1161">
        <f t="shared" si="25"/>
        <v>6</v>
      </c>
      <c r="I43" s="1161">
        <f t="shared" si="25"/>
        <v>6</v>
      </c>
      <c r="J43" s="1161">
        <f t="shared" si="25"/>
        <v>6</v>
      </c>
      <c r="K43" s="1161">
        <f t="shared" si="25"/>
        <v>6</v>
      </c>
      <c r="L43" s="1161">
        <f t="shared" si="25"/>
        <v>6</v>
      </c>
      <c r="M43" s="1161">
        <f t="shared" si="25"/>
        <v>6</v>
      </c>
      <c r="N43" s="1161">
        <f t="shared" si="25"/>
        <v>6</v>
      </c>
      <c r="O43" t="s">
        <v>1056</v>
      </c>
    </row>
    <row r="44" spans="1:15">
      <c r="A44" s="13" t="str">
        <f>IF(Obal!A44=0,"",Obal!A44)</f>
        <v/>
      </c>
      <c r="B44" s="272" t="str">
        <f>IF(Obal!B44=0,"",Obal!B44)</f>
        <v/>
      </c>
      <c r="E44" s="1062"/>
      <c r="F44" s="1062"/>
      <c r="G44" s="1062"/>
      <c r="H44" s="1062"/>
      <c r="I44" s="1062"/>
      <c r="J44" s="1062"/>
      <c r="K44" s="1062"/>
      <c r="L44" s="1062"/>
    </row>
    <row r="45" spans="1:15">
      <c r="A45" s="13" t="str">
        <f>IF(Obal!A45=0,"",Obal!A45)</f>
        <v/>
      </c>
      <c r="B45" s="272" t="str">
        <f>IF(Obal!B45=0,"",Obal!B45)</f>
        <v>Azul Infrastructure</v>
      </c>
      <c r="E45" s="1161">
        <f t="shared" ref="E45:N45" si="26">calcEGProd2Offering1Investment</f>
        <v>4</v>
      </c>
      <c r="F45" s="1161">
        <f t="shared" si="26"/>
        <v>4</v>
      </c>
      <c r="G45" s="1161">
        <f t="shared" si="26"/>
        <v>4</v>
      </c>
      <c r="H45" s="1161">
        <f t="shared" si="26"/>
        <v>4</v>
      </c>
      <c r="I45" s="1161">
        <f t="shared" si="26"/>
        <v>4</v>
      </c>
      <c r="J45" s="1161">
        <f t="shared" si="26"/>
        <v>4</v>
      </c>
      <c r="K45" s="1161">
        <f t="shared" si="26"/>
        <v>4</v>
      </c>
      <c r="L45" s="1161">
        <f t="shared" si="26"/>
        <v>4</v>
      </c>
      <c r="M45" s="1161">
        <f t="shared" si="26"/>
        <v>4</v>
      </c>
      <c r="N45" s="1161">
        <f t="shared" si="26"/>
        <v>4</v>
      </c>
      <c r="O45" t="s">
        <v>1057</v>
      </c>
    </row>
    <row r="46" spans="1:15">
      <c r="A46" s="13" t="str">
        <f>IF(Obal!A46=0,"",Obal!A46)</f>
        <v/>
      </c>
      <c r="B46" s="272" t="str">
        <f>IF(Obal!B46=0,"",Obal!B46)</f>
        <v>Azul Data, Applications, and AI</v>
      </c>
      <c r="E46" s="1161">
        <f t="shared" ref="E46:N46" si="27">calcEGProd2Offering2Investment</f>
        <v>4</v>
      </c>
      <c r="F46" s="1161">
        <f t="shared" si="27"/>
        <v>4</v>
      </c>
      <c r="G46" s="1161">
        <f t="shared" si="27"/>
        <v>4</v>
      </c>
      <c r="H46" s="1161">
        <f t="shared" si="27"/>
        <v>4</v>
      </c>
      <c r="I46" s="1161">
        <f t="shared" si="27"/>
        <v>4</v>
      </c>
      <c r="J46" s="1161">
        <f t="shared" si="27"/>
        <v>4</v>
      </c>
      <c r="K46" s="1161">
        <f t="shared" si="27"/>
        <v>4</v>
      </c>
      <c r="L46" s="1161">
        <f t="shared" si="27"/>
        <v>4</v>
      </c>
      <c r="M46" s="1161">
        <f t="shared" si="27"/>
        <v>4</v>
      </c>
      <c r="N46" s="1161">
        <f t="shared" si="27"/>
        <v>4</v>
      </c>
      <c r="O46" t="s">
        <v>1058</v>
      </c>
    </row>
    <row r="47" spans="1:15">
      <c r="A47" s="13"/>
      <c r="B47" s="272" t="str">
        <f>IF(Obal!B47=0,"",Obal!B47)</f>
        <v/>
      </c>
      <c r="E47" s="1161"/>
      <c r="F47" s="1161"/>
      <c r="G47" s="1161"/>
      <c r="H47" s="1161"/>
      <c r="I47" s="1161"/>
      <c r="J47" s="1161"/>
      <c r="K47" s="1161"/>
      <c r="L47" s="1161"/>
      <c r="M47" s="494"/>
      <c r="N47" s="494"/>
    </row>
    <row r="48" spans="1:15">
      <c r="A48" s="13" t="str">
        <f>IF(Obal!A48=0,"",Obal!A48)</f>
        <v/>
      </c>
      <c r="B48" s="272" t="str">
        <f>IF(Obal!B48=0,"",Obal!B48)</f>
        <v>Doors OS</v>
      </c>
      <c r="E48" s="1161">
        <f t="shared" ref="E48:N48" si="28">calcEGProd3Offering1Investment</f>
        <v>7</v>
      </c>
      <c r="F48" s="1161">
        <f t="shared" si="28"/>
        <v>7</v>
      </c>
      <c r="G48" s="1161">
        <f t="shared" si="28"/>
        <v>7</v>
      </c>
      <c r="H48" s="1161">
        <f t="shared" si="28"/>
        <v>7</v>
      </c>
      <c r="I48" s="1161">
        <f t="shared" si="28"/>
        <v>7</v>
      </c>
      <c r="J48" s="1161">
        <f t="shared" si="28"/>
        <v>7</v>
      </c>
      <c r="K48" s="1161">
        <f t="shared" si="28"/>
        <v>7</v>
      </c>
      <c r="L48" s="1161">
        <f t="shared" si="28"/>
        <v>7</v>
      </c>
      <c r="M48" s="1161">
        <f t="shared" si="28"/>
        <v>7</v>
      </c>
      <c r="N48" s="1161">
        <f t="shared" si="28"/>
        <v>7</v>
      </c>
      <c r="O48" t="s">
        <v>1059</v>
      </c>
    </row>
    <row r="49" spans="1:15">
      <c r="A49" s="13" t="str">
        <f>IF(Obal!A49=0,"",Obal!A49)</f>
        <v/>
      </c>
      <c r="B49" s="272" t="str">
        <f>IF(Obal!B49=0,"",Obal!B49)</f>
        <v>Devices</v>
      </c>
      <c r="E49" s="1161">
        <f t="shared" ref="E49:N49" si="29">calcEGProd3Offering2Investment</f>
        <v>6</v>
      </c>
      <c r="F49" s="1161">
        <f t="shared" si="29"/>
        <v>6</v>
      </c>
      <c r="G49" s="1161">
        <f t="shared" si="29"/>
        <v>6</v>
      </c>
      <c r="H49" s="1161">
        <f t="shared" si="29"/>
        <v>6</v>
      </c>
      <c r="I49" s="1161">
        <f t="shared" si="29"/>
        <v>6</v>
      </c>
      <c r="J49" s="1161">
        <f t="shared" si="29"/>
        <v>6</v>
      </c>
      <c r="K49" s="1161">
        <f t="shared" si="29"/>
        <v>6</v>
      </c>
      <c r="L49" s="1161">
        <f t="shared" si="29"/>
        <v>6</v>
      </c>
      <c r="M49" s="1161">
        <f t="shared" si="29"/>
        <v>6</v>
      </c>
      <c r="N49" s="1161">
        <f t="shared" si="29"/>
        <v>6</v>
      </c>
      <c r="O49" t="s">
        <v>1060</v>
      </c>
    </row>
    <row r="50" spans="1:15">
      <c r="A50" s="13" t="str">
        <f>IF(Obal!A50=0,"",Obal!A50)</f>
        <v/>
      </c>
      <c r="B50" s="272" t="str">
        <f>IF(Obal!B50=0,"",Obal!B50)</f>
        <v/>
      </c>
    </row>
    <row r="51" spans="1:15">
      <c r="A51" s="13" t="str">
        <f>IF(Obal!A51=0,"",Obal!A51)</f>
        <v/>
      </c>
      <c r="B51" s="272" t="str">
        <f>IF(Obal!B51=0,"",Obal!B51)</f>
        <v>Security Decison</v>
      </c>
      <c r="E51" s="1161">
        <f t="shared" ref="E51:N51" si="30">calcEGSecurity</f>
        <v>7</v>
      </c>
      <c r="F51" s="1161">
        <f t="shared" si="30"/>
        <v>7</v>
      </c>
      <c r="G51" s="1161">
        <f t="shared" si="30"/>
        <v>7</v>
      </c>
      <c r="H51" s="1161">
        <f t="shared" si="30"/>
        <v>7</v>
      </c>
      <c r="I51" s="1161">
        <f t="shared" si="30"/>
        <v>7</v>
      </c>
      <c r="J51" s="1161">
        <f t="shared" si="30"/>
        <v>7</v>
      </c>
      <c r="K51" s="1161">
        <f t="shared" si="30"/>
        <v>7</v>
      </c>
      <c r="L51" s="1161">
        <f t="shared" si="30"/>
        <v>7</v>
      </c>
      <c r="M51" s="1161">
        <f t="shared" si="30"/>
        <v>7</v>
      </c>
      <c r="N51" s="1161">
        <f t="shared" si="30"/>
        <v>7</v>
      </c>
      <c r="O51" t="s">
        <v>2888</v>
      </c>
    </row>
    <row r="52" spans="1:15">
      <c r="A52" s="13" t="str">
        <f>IF(Obal!A52=0,"",Obal!A52)</f>
        <v/>
      </c>
      <c r="B52" s="272" t="str">
        <f>IF(Obal!B52=0,"",Obal!B52)</f>
        <v>Scalability Decision</v>
      </c>
      <c r="E52" s="1161">
        <f t="shared" ref="E52:N52" si="31">calcEGScalability</f>
        <v>5</v>
      </c>
      <c r="F52" s="1161">
        <f t="shared" si="31"/>
        <v>5</v>
      </c>
      <c r="G52" s="1161">
        <f t="shared" si="31"/>
        <v>5</v>
      </c>
      <c r="H52" s="1161">
        <f t="shared" si="31"/>
        <v>5</v>
      </c>
      <c r="I52" s="1161">
        <f t="shared" si="31"/>
        <v>5</v>
      </c>
      <c r="J52" s="1161">
        <f t="shared" si="31"/>
        <v>5</v>
      </c>
      <c r="K52" s="1161">
        <f t="shared" si="31"/>
        <v>5</v>
      </c>
      <c r="L52" s="1161">
        <f t="shared" si="31"/>
        <v>5</v>
      </c>
      <c r="M52" s="1161">
        <f t="shared" si="31"/>
        <v>5</v>
      </c>
      <c r="N52" s="1161">
        <f t="shared" si="31"/>
        <v>5</v>
      </c>
      <c r="O52" t="s">
        <v>2889</v>
      </c>
    </row>
    <row r="53" spans="1:15">
      <c r="A53" s="13" t="str">
        <f>IF(Obal!A53=0,"",Obal!A53)</f>
        <v/>
      </c>
      <c r="B53" s="272" t="str">
        <f>IF(Obal!B53=0,"",Obal!B53)</f>
        <v>Interoperability Decision</v>
      </c>
      <c r="E53" s="1161">
        <f t="shared" ref="E53:N53" si="32">calcEGInteroperability</f>
        <v>4</v>
      </c>
      <c r="F53" s="1161">
        <f t="shared" si="32"/>
        <v>4</v>
      </c>
      <c r="G53" s="1161">
        <f t="shared" si="32"/>
        <v>4</v>
      </c>
      <c r="H53" s="1161">
        <f t="shared" si="32"/>
        <v>4</v>
      </c>
      <c r="I53" s="1161">
        <f t="shared" si="32"/>
        <v>4</v>
      </c>
      <c r="J53" s="1161">
        <f t="shared" si="32"/>
        <v>4</v>
      </c>
      <c r="K53" s="1161">
        <f t="shared" si="32"/>
        <v>4</v>
      </c>
      <c r="L53" s="1161">
        <f t="shared" si="32"/>
        <v>4</v>
      </c>
      <c r="M53" s="1161">
        <f t="shared" si="32"/>
        <v>4</v>
      </c>
      <c r="N53" s="1161">
        <f t="shared" si="32"/>
        <v>4</v>
      </c>
      <c r="O53" t="s">
        <v>2890</v>
      </c>
    </row>
    <row r="54" spans="1:15">
      <c r="A54" s="13"/>
      <c r="B54" s="272" t="str">
        <f>IF(Obal!B54=0,"",Obal!B54)</f>
        <v/>
      </c>
      <c r="E54" s="1161"/>
      <c r="F54" s="1161"/>
      <c r="G54" s="1161"/>
      <c r="H54" s="1161"/>
      <c r="I54" s="1161"/>
      <c r="J54" s="1161"/>
      <c r="K54" s="1161"/>
      <c r="L54" s="1161"/>
      <c r="M54" s="494"/>
      <c r="N54" s="494"/>
    </row>
    <row r="55" spans="1:15">
      <c r="A55" s="13" t="str">
        <f>IF(Obal!A55=0,"",Obal!A55)</f>
        <v/>
      </c>
      <c r="B55" s="272" t="str">
        <f>IF(Obal!B55=0,"",Obal!B55)</f>
        <v>Workspace 365 Decision</v>
      </c>
      <c r="E55" s="1161">
        <f t="shared" ref="E55:N55" si="33">calcEGProd1Offering1</f>
        <v>8</v>
      </c>
      <c r="F55" s="1161">
        <f t="shared" si="33"/>
        <v>8</v>
      </c>
      <c r="G55" s="1161">
        <f t="shared" si="33"/>
        <v>8</v>
      </c>
      <c r="H55" s="1161">
        <f t="shared" si="33"/>
        <v>8</v>
      </c>
      <c r="I55" s="1161">
        <f t="shared" si="33"/>
        <v>8</v>
      </c>
      <c r="J55" s="1161">
        <f t="shared" si="33"/>
        <v>8</v>
      </c>
      <c r="K55" s="1161">
        <f t="shared" si="33"/>
        <v>8</v>
      </c>
      <c r="L55" s="1161">
        <f t="shared" si="33"/>
        <v>8</v>
      </c>
      <c r="M55" s="1161">
        <f t="shared" si="33"/>
        <v>8</v>
      </c>
      <c r="N55" s="1161">
        <f t="shared" si="33"/>
        <v>8</v>
      </c>
      <c r="O55" t="s">
        <v>2891</v>
      </c>
    </row>
    <row r="56" spans="1:15">
      <c r="A56" s="13"/>
      <c r="B56" s="272" t="str">
        <f>IF(Obal!B56=0,"",Obal!B56)</f>
        <v>Dynamo 365 Decision</v>
      </c>
      <c r="E56" s="1161">
        <f t="shared" ref="E56:N56" si="34">calcEGProd1Offering2</f>
        <v>6</v>
      </c>
      <c r="F56" s="1161">
        <f t="shared" si="34"/>
        <v>6</v>
      </c>
      <c r="G56" s="1161">
        <f t="shared" si="34"/>
        <v>6</v>
      </c>
      <c r="H56" s="1161">
        <f t="shared" si="34"/>
        <v>6</v>
      </c>
      <c r="I56" s="1161">
        <f t="shared" si="34"/>
        <v>6</v>
      </c>
      <c r="J56" s="1161">
        <f t="shared" si="34"/>
        <v>6</v>
      </c>
      <c r="K56" s="1161">
        <f t="shared" si="34"/>
        <v>6</v>
      </c>
      <c r="L56" s="1161">
        <f t="shared" si="34"/>
        <v>6</v>
      </c>
      <c r="M56" s="1161">
        <f t="shared" si="34"/>
        <v>6</v>
      </c>
      <c r="N56" s="1161">
        <f t="shared" si="34"/>
        <v>6</v>
      </c>
      <c r="O56" t="s">
        <v>2892</v>
      </c>
    </row>
    <row r="57" spans="1:15">
      <c r="A57" s="13" t="str">
        <f>IF(Obal!A57=0,"",Obal!A57)</f>
        <v/>
      </c>
      <c r="B57" s="272" t="str">
        <f>IF(Obal!B57=0,"",Obal!B57)</f>
        <v/>
      </c>
      <c r="E57" s="1062"/>
      <c r="F57" s="1062"/>
      <c r="G57" s="1062"/>
      <c r="H57" s="1062"/>
      <c r="I57" s="1062"/>
      <c r="J57" s="1062"/>
      <c r="K57" s="1062"/>
      <c r="L57" s="1062"/>
      <c r="M57" s="1062"/>
    </row>
    <row r="58" spans="1:15">
      <c r="A58" s="13" t="str">
        <f>IF(Obal!A58=0,"",Obal!A58)</f>
        <v/>
      </c>
      <c r="B58" s="272" t="str">
        <f>IF(Obal!B58=0,"",Obal!B58)</f>
        <v>Azul Infrastructure Decision</v>
      </c>
      <c r="E58" s="1161">
        <f t="shared" ref="E58:N58" si="35">calcEGProd2Offering1</f>
        <v>4</v>
      </c>
      <c r="F58" s="1161">
        <f t="shared" si="35"/>
        <v>4</v>
      </c>
      <c r="G58" s="1161">
        <f t="shared" si="35"/>
        <v>4</v>
      </c>
      <c r="H58" s="1161">
        <f t="shared" si="35"/>
        <v>4</v>
      </c>
      <c r="I58" s="1161">
        <f t="shared" si="35"/>
        <v>4</v>
      </c>
      <c r="J58" s="1161">
        <f t="shared" si="35"/>
        <v>4</v>
      </c>
      <c r="K58" s="1161">
        <f t="shared" si="35"/>
        <v>4</v>
      </c>
      <c r="L58" s="1161">
        <f t="shared" si="35"/>
        <v>4</v>
      </c>
      <c r="M58" s="1161">
        <f t="shared" si="35"/>
        <v>4</v>
      </c>
      <c r="N58" s="1161">
        <f t="shared" si="35"/>
        <v>4</v>
      </c>
      <c r="O58" t="s">
        <v>2893</v>
      </c>
    </row>
    <row r="59" spans="1:15">
      <c r="A59" s="13" t="str">
        <f>IF(Obal!A59=0,"",Obal!A59)</f>
        <v/>
      </c>
      <c r="B59" s="272" t="str">
        <f>IF(Obal!B59=0,"",Obal!B59)</f>
        <v>Azul Data, Applications, and AI Decision</v>
      </c>
      <c r="E59" s="1161">
        <f t="shared" ref="E59:N59" si="36">calcEGProd2Offering2</f>
        <v>4</v>
      </c>
      <c r="F59" s="1161">
        <f t="shared" si="36"/>
        <v>4</v>
      </c>
      <c r="G59" s="1161">
        <f t="shared" si="36"/>
        <v>4</v>
      </c>
      <c r="H59" s="1161">
        <f t="shared" si="36"/>
        <v>4</v>
      </c>
      <c r="I59" s="1161">
        <f t="shared" si="36"/>
        <v>4</v>
      </c>
      <c r="J59" s="1161">
        <f t="shared" si="36"/>
        <v>4</v>
      </c>
      <c r="K59" s="1161">
        <f t="shared" si="36"/>
        <v>4</v>
      </c>
      <c r="L59" s="1161">
        <f t="shared" si="36"/>
        <v>4</v>
      </c>
      <c r="M59" s="1161">
        <f t="shared" si="36"/>
        <v>4</v>
      </c>
      <c r="N59" s="1161">
        <f t="shared" si="36"/>
        <v>4</v>
      </c>
      <c r="O59" t="s">
        <v>2894</v>
      </c>
    </row>
    <row r="60" spans="1:15">
      <c r="A60" s="13"/>
      <c r="B60" s="272" t="str">
        <f>IF(Obal!B60=0,"",Obal!B60)</f>
        <v/>
      </c>
      <c r="E60" s="1161"/>
      <c r="F60" s="1161"/>
      <c r="G60" s="1161"/>
      <c r="H60" s="1161"/>
      <c r="I60" s="1161"/>
      <c r="J60" s="1161"/>
      <c r="K60" s="1161"/>
      <c r="L60" s="1161"/>
      <c r="M60" s="494"/>
      <c r="N60" s="494"/>
    </row>
    <row r="61" spans="1:15">
      <c r="A61" s="13" t="str">
        <f>IF(Obal!A61=0,"",Obal!A61)</f>
        <v/>
      </c>
      <c r="B61" s="272" t="str">
        <f>IF(Obal!B61=0,"",Obal!B61)</f>
        <v>Doors OS Decision</v>
      </c>
      <c r="E61" s="1161">
        <f t="shared" ref="E61:N61" si="37">calcEGProd3Offering1</f>
        <v>7</v>
      </c>
      <c r="F61" s="1161">
        <f t="shared" si="37"/>
        <v>7</v>
      </c>
      <c r="G61" s="1161">
        <f t="shared" si="37"/>
        <v>7</v>
      </c>
      <c r="H61" s="1161">
        <f t="shared" si="37"/>
        <v>7</v>
      </c>
      <c r="I61" s="1161">
        <f t="shared" si="37"/>
        <v>7</v>
      </c>
      <c r="J61" s="1161">
        <f t="shared" si="37"/>
        <v>7</v>
      </c>
      <c r="K61" s="1161">
        <f t="shared" si="37"/>
        <v>7</v>
      </c>
      <c r="L61" s="1161">
        <f t="shared" si="37"/>
        <v>7</v>
      </c>
      <c r="M61" s="1161">
        <f t="shared" si="37"/>
        <v>7</v>
      </c>
      <c r="N61" s="1161">
        <f t="shared" si="37"/>
        <v>7</v>
      </c>
      <c r="O61" t="s">
        <v>2895</v>
      </c>
    </row>
    <row r="62" spans="1:15">
      <c r="A62" s="13" t="str">
        <f>IF(Obal!A62=0,"",Obal!A62)</f>
        <v/>
      </c>
      <c r="B62" s="272" t="str">
        <f>IF(Obal!B62=0,"",Obal!B62)</f>
        <v>Devices Decision</v>
      </c>
      <c r="E62" s="1161">
        <f t="shared" ref="E62:N62" si="38">calcEGProd3Offering2</f>
        <v>6</v>
      </c>
      <c r="F62" s="1161">
        <f t="shared" si="38"/>
        <v>6</v>
      </c>
      <c r="G62" s="1161">
        <f t="shared" si="38"/>
        <v>6</v>
      </c>
      <c r="H62" s="1161">
        <f t="shared" si="38"/>
        <v>6</v>
      </c>
      <c r="I62" s="1161">
        <f t="shared" si="38"/>
        <v>6</v>
      </c>
      <c r="J62" s="1161">
        <f t="shared" si="38"/>
        <v>6</v>
      </c>
      <c r="K62" s="1161">
        <f t="shared" si="38"/>
        <v>6</v>
      </c>
      <c r="L62" s="1161">
        <f t="shared" si="38"/>
        <v>6</v>
      </c>
      <c r="M62" s="1161">
        <f t="shared" si="38"/>
        <v>6</v>
      </c>
      <c r="N62" s="1161">
        <f t="shared" si="38"/>
        <v>6</v>
      </c>
      <c r="O62" t="s">
        <v>2896</v>
      </c>
    </row>
    <row r="63" spans="1:15">
      <c r="A63" s="13" t="str">
        <f>IF(Obal!A63=0,"",Obal!A63)</f>
        <v/>
      </c>
      <c r="B63" s="272" t="str">
        <f>IF(Obal!B63=0,"",Obal!B63)</f>
        <v/>
      </c>
      <c r="E63" s="494"/>
      <c r="F63" s="494"/>
      <c r="G63" s="494"/>
      <c r="H63" s="494"/>
      <c r="I63" s="494"/>
      <c r="J63" s="494"/>
      <c r="K63" s="494"/>
      <c r="L63" s="494"/>
      <c r="M63" s="494"/>
      <c r="N63" s="494"/>
    </row>
    <row r="64" spans="1:15">
      <c r="A64" s="13" t="str">
        <f>IF(Obal!A64=0,"",Obal!A64)</f>
        <v>Commercial</v>
      </c>
      <c r="B64" s="272" t="str">
        <f>IF(Obal!B64=0,"",Obal!B64)</f>
        <v/>
      </c>
      <c r="E64" s="494"/>
      <c r="F64" s="494"/>
      <c r="G64" s="494"/>
      <c r="H64" s="494"/>
      <c r="I64" s="494"/>
      <c r="J64" s="494"/>
      <c r="K64" s="494"/>
      <c r="L64" s="494"/>
      <c r="M64" s="494"/>
      <c r="N64" s="494"/>
    </row>
    <row r="65" spans="1:15">
      <c r="A65" s="13" t="str">
        <f>IF(Obal!A65=0,"",Obal!A65)</f>
        <v/>
      </c>
      <c r="B65" s="272" t="str">
        <f>IF(Obal!B65=0,"",Obal!B65)</f>
        <v>Productivity &amp; Business Price</v>
      </c>
      <c r="E65" s="526">
        <f t="shared" ref="E65:N65" si="39">calcCommercialProd1Price</f>
        <v>15</v>
      </c>
      <c r="F65" s="526">
        <f t="shared" si="39"/>
        <v>15</v>
      </c>
      <c r="G65" s="526">
        <f t="shared" si="39"/>
        <v>15</v>
      </c>
      <c r="H65" s="526">
        <f t="shared" si="39"/>
        <v>15</v>
      </c>
      <c r="I65" s="526">
        <f t="shared" si="39"/>
        <v>15</v>
      </c>
      <c r="J65" s="526">
        <f t="shared" si="39"/>
        <v>15</v>
      </c>
      <c r="K65" s="526">
        <f t="shared" si="39"/>
        <v>15</v>
      </c>
      <c r="L65" s="526">
        <f t="shared" si="39"/>
        <v>15</v>
      </c>
      <c r="M65" s="526">
        <f t="shared" si="39"/>
        <v>15</v>
      </c>
      <c r="N65" s="526">
        <f t="shared" si="39"/>
        <v>15</v>
      </c>
      <c r="O65" t="s">
        <v>1274</v>
      </c>
    </row>
    <row r="66" spans="1:15">
      <c r="A66" s="13" t="str">
        <f>IF(Obal!A66=0,"",Obal!A66)</f>
        <v/>
      </c>
      <c r="B66" s="272" t="str">
        <f>IF(Obal!B66=0,"",Obal!B66)</f>
        <v>Intelligent Cloud Price</v>
      </c>
      <c r="E66" s="526">
        <f t="shared" ref="E66:N66" si="40">calcCommercialProd2Price</f>
        <v>50</v>
      </c>
      <c r="F66" s="526">
        <f t="shared" si="40"/>
        <v>50</v>
      </c>
      <c r="G66" s="526">
        <f t="shared" si="40"/>
        <v>50</v>
      </c>
      <c r="H66" s="526">
        <f t="shared" si="40"/>
        <v>50</v>
      </c>
      <c r="I66" s="526">
        <f t="shared" si="40"/>
        <v>50</v>
      </c>
      <c r="J66" s="526">
        <f t="shared" si="40"/>
        <v>50</v>
      </c>
      <c r="K66" s="526">
        <f t="shared" si="40"/>
        <v>50</v>
      </c>
      <c r="L66" s="526">
        <f t="shared" si="40"/>
        <v>50</v>
      </c>
      <c r="M66" s="526">
        <f t="shared" si="40"/>
        <v>50</v>
      </c>
      <c r="N66" s="526">
        <f t="shared" si="40"/>
        <v>50</v>
      </c>
      <c r="O66" t="s">
        <v>1275</v>
      </c>
    </row>
    <row r="67" spans="1:15">
      <c r="A67" s="13" t="str">
        <f>IF(Obal!A67=0,"",Obal!A67)</f>
        <v/>
      </c>
      <c r="B67" s="272" t="str">
        <f>IF(Obal!B67=0,"",Obal!B67)</f>
        <v>Personal Computing Price</v>
      </c>
      <c r="E67" s="526">
        <f t="shared" ref="E67:N67" si="41">calcCommercialProd3Price</f>
        <v>320</v>
      </c>
      <c r="F67" s="526">
        <f t="shared" si="41"/>
        <v>320</v>
      </c>
      <c r="G67" s="526">
        <f t="shared" si="41"/>
        <v>320</v>
      </c>
      <c r="H67" s="526">
        <f t="shared" si="41"/>
        <v>320</v>
      </c>
      <c r="I67" s="526">
        <f t="shared" si="41"/>
        <v>320</v>
      </c>
      <c r="J67" s="526">
        <f t="shared" si="41"/>
        <v>320</v>
      </c>
      <c r="K67" s="526">
        <f t="shared" si="41"/>
        <v>320</v>
      </c>
      <c r="L67" s="526">
        <f t="shared" si="41"/>
        <v>320</v>
      </c>
      <c r="M67" s="526">
        <f t="shared" si="41"/>
        <v>320</v>
      </c>
      <c r="N67" s="526">
        <f t="shared" si="41"/>
        <v>320</v>
      </c>
      <c r="O67" t="s">
        <v>1276</v>
      </c>
    </row>
    <row r="68" spans="1:15">
      <c r="A68" s="13" t="str">
        <f>IF(Obal!A68=0,"",Obal!A68)</f>
        <v/>
      </c>
      <c r="B68" s="272" t="str">
        <f>IF(Obal!B68=0,"",Obal!B68)</f>
        <v/>
      </c>
      <c r="E68" s="477"/>
      <c r="F68" s="477"/>
      <c r="G68" s="477"/>
      <c r="H68" s="477"/>
      <c r="I68" s="477"/>
      <c r="J68" s="477"/>
      <c r="K68" s="477"/>
      <c r="L68" s="477"/>
      <c r="M68" s="477"/>
      <c r="N68" s="477"/>
    </row>
    <row r="69" spans="1:15">
      <c r="A69" s="13" t="str">
        <f>IF(Obal!A69=0,"",Obal!A69)</f>
        <v/>
      </c>
      <c r="B69" s="272" t="str">
        <f>IF(Obal!B69=0,"",Obal!B69)</f>
        <v>Technical Expertise</v>
      </c>
      <c r="E69" s="477">
        <f t="shared" ref="E69:N69" si="42">calcCommercialSkill1</f>
        <v>8</v>
      </c>
      <c r="F69" s="477">
        <f t="shared" si="42"/>
        <v>8</v>
      </c>
      <c r="G69" s="477">
        <f t="shared" si="42"/>
        <v>8</v>
      </c>
      <c r="H69" s="477">
        <f t="shared" si="42"/>
        <v>8</v>
      </c>
      <c r="I69" s="477">
        <f t="shared" si="42"/>
        <v>8</v>
      </c>
      <c r="J69" s="477">
        <f t="shared" si="42"/>
        <v>8</v>
      </c>
      <c r="K69" s="477">
        <f t="shared" si="42"/>
        <v>8</v>
      </c>
      <c r="L69" s="477">
        <f t="shared" si="42"/>
        <v>8</v>
      </c>
      <c r="M69" s="477">
        <f t="shared" si="42"/>
        <v>8</v>
      </c>
      <c r="N69" s="477">
        <f t="shared" si="42"/>
        <v>8</v>
      </c>
      <c r="O69" t="s">
        <v>2625</v>
      </c>
    </row>
    <row r="70" spans="1:15">
      <c r="A70" s="13" t="str">
        <f>IF(Obal!A70=0,"",Obal!A70)</f>
        <v/>
      </c>
      <c r="B70" s="272" t="str">
        <f>IF(Obal!B70=0,"",Obal!B70)</f>
        <v>Consultative Skills</v>
      </c>
      <c r="E70" s="477">
        <f t="shared" ref="E70:N70" si="43">calcCommercialSkill2</f>
        <v>5</v>
      </c>
      <c r="F70" s="477">
        <f t="shared" si="43"/>
        <v>5</v>
      </c>
      <c r="G70" s="477">
        <f t="shared" si="43"/>
        <v>5</v>
      </c>
      <c r="H70" s="477">
        <f t="shared" si="43"/>
        <v>5</v>
      </c>
      <c r="I70" s="477">
        <f t="shared" si="43"/>
        <v>5</v>
      </c>
      <c r="J70" s="477">
        <f t="shared" si="43"/>
        <v>5</v>
      </c>
      <c r="K70" s="477">
        <f t="shared" si="43"/>
        <v>5</v>
      </c>
      <c r="L70" s="477">
        <f t="shared" si="43"/>
        <v>5</v>
      </c>
      <c r="M70" s="477">
        <f t="shared" si="43"/>
        <v>5</v>
      </c>
      <c r="N70" s="477">
        <f t="shared" si="43"/>
        <v>5</v>
      </c>
      <c r="O70" t="s">
        <v>2626</v>
      </c>
    </row>
    <row r="71" spans="1:15">
      <c r="A71" s="13" t="str">
        <f>IF(Obal!A71=0,"",Obal!A71)</f>
        <v/>
      </c>
      <c r="B71" s="272" t="str">
        <f>IF(Obal!B71=0,"",Obal!B71)</f>
        <v>Industry Expertise</v>
      </c>
      <c r="E71" s="477">
        <f t="shared" ref="E71:N71" si="44">calcCommercialSkill3</f>
        <v>2</v>
      </c>
      <c r="F71" s="477">
        <f t="shared" si="44"/>
        <v>2</v>
      </c>
      <c r="G71" s="477">
        <f t="shared" si="44"/>
        <v>2</v>
      </c>
      <c r="H71" s="477">
        <f t="shared" si="44"/>
        <v>2</v>
      </c>
      <c r="I71" s="477">
        <f t="shared" si="44"/>
        <v>2</v>
      </c>
      <c r="J71" s="477">
        <f t="shared" si="44"/>
        <v>2</v>
      </c>
      <c r="K71" s="477">
        <f t="shared" si="44"/>
        <v>2</v>
      </c>
      <c r="L71" s="477">
        <f t="shared" si="44"/>
        <v>2</v>
      </c>
      <c r="M71" s="477">
        <f t="shared" si="44"/>
        <v>2</v>
      </c>
      <c r="N71" s="477">
        <f t="shared" si="44"/>
        <v>2</v>
      </c>
      <c r="O71" t="s">
        <v>2627</v>
      </c>
    </row>
    <row r="72" spans="1:15">
      <c r="A72" s="13" t="str">
        <f>IF(Obal!A72=0,"",Obal!A72)</f>
        <v/>
      </c>
      <c r="B72" s="272" t="str">
        <f>IF(Obal!B72=0,"",Obal!B72)</f>
        <v/>
      </c>
      <c r="E72" s="494"/>
      <c r="F72" s="494"/>
      <c r="G72" s="494"/>
      <c r="H72" s="494"/>
      <c r="I72" s="494"/>
      <c r="J72" s="494"/>
      <c r="K72" s="494"/>
      <c r="L72" s="494"/>
      <c r="M72" s="494"/>
      <c r="N72" s="494"/>
    </row>
    <row r="73" spans="1:15">
      <c r="A73" s="13" t="str">
        <f>IF(Obal!A73=0,"",Obal!A73)</f>
        <v/>
      </c>
      <c r="B73" s="272" t="str">
        <f>IF(Obal!B73=0,"",Obal!B73)</f>
        <v>Direct Sales FTEs</v>
      </c>
      <c r="E73" s="494">
        <f t="shared" ref="E73:N73" si="45">decCommercialDirectSalesFTEs</f>
        <v>250</v>
      </c>
      <c r="F73" s="494">
        <f t="shared" si="45"/>
        <v>250</v>
      </c>
      <c r="G73" s="494">
        <f t="shared" si="45"/>
        <v>250</v>
      </c>
      <c r="H73" s="494">
        <f t="shared" si="45"/>
        <v>250</v>
      </c>
      <c r="I73" s="494">
        <f t="shared" si="45"/>
        <v>250</v>
      </c>
      <c r="J73" s="494">
        <f t="shared" si="45"/>
        <v>250</v>
      </c>
      <c r="K73" s="494">
        <f t="shared" si="45"/>
        <v>250</v>
      </c>
      <c r="L73" s="494">
        <f t="shared" si="45"/>
        <v>250</v>
      </c>
      <c r="M73" s="494">
        <f t="shared" si="45"/>
        <v>250</v>
      </c>
      <c r="N73" s="494">
        <f t="shared" si="45"/>
        <v>250</v>
      </c>
      <c r="O73" t="s">
        <v>1277</v>
      </c>
    </row>
    <row r="74" spans="1:15">
      <c r="A74" s="13" t="str">
        <f>IF(Obal!A74=0,"",Obal!A74)</f>
        <v/>
      </c>
      <c r="B74" s="272" t="str">
        <f>IF(Obal!B74=0,"",Obal!B74)</f>
        <v>Inside Sales FTEs</v>
      </c>
      <c r="E74" s="494">
        <f t="shared" ref="E74:N74" si="46">decCommercialInsideSalesFTEs</f>
        <v>125</v>
      </c>
      <c r="F74" s="494">
        <f t="shared" si="46"/>
        <v>125</v>
      </c>
      <c r="G74" s="494">
        <f t="shared" si="46"/>
        <v>125</v>
      </c>
      <c r="H74" s="494">
        <f t="shared" si="46"/>
        <v>125</v>
      </c>
      <c r="I74" s="494">
        <f t="shared" si="46"/>
        <v>125</v>
      </c>
      <c r="J74" s="494">
        <f t="shared" si="46"/>
        <v>125</v>
      </c>
      <c r="K74" s="494">
        <f t="shared" si="46"/>
        <v>125</v>
      </c>
      <c r="L74" s="494">
        <f t="shared" si="46"/>
        <v>125</v>
      </c>
      <c r="M74" s="494">
        <f t="shared" si="46"/>
        <v>125</v>
      </c>
      <c r="N74" s="494">
        <f t="shared" si="46"/>
        <v>125</v>
      </c>
      <c r="O74" t="s">
        <v>1278</v>
      </c>
    </row>
    <row r="75" spans="1:15">
      <c r="A75" s="13" t="str">
        <f>IF(Obal!A75=0,"",Obal!A75)</f>
        <v/>
      </c>
      <c r="B75" s="272" t="str">
        <f>IF(Obal!B75=0,"",Obal!B75)</f>
        <v>Premier Services FTEs</v>
      </c>
      <c r="E75" s="494">
        <f t="shared" ref="E75:N75" si="47">decCommercialServicesFTEs</f>
        <v>90</v>
      </c>
      <c r="F75" s="494">
        <f t="shared" si="47"/>
        <v>90</v>
      </c>
      <c r="G75" s="494">
        <f t="shared" si="47"/>
        <v>90</v>
      </c>
      <c r="H75" s="494">
        <f t="shared" si="47"/>
        <v>90</v>
      </c>
      <c r="I75" s="494">
        <f t="shared" si="47"/>
        <v>90</v>
      </c>
      <c r="J75" s="494">
        <f t="shared" si="47"/>
        <v>90</v>
      </c>
      <c r="K75" s="494">
        <f t="shared" si="47"/>
        <v>90</v>
      </c>
      <c r="L75" s="494">
        <f t="shared" si="47"/>
        <v>90</v>
      </c>
      <c r="M75" s="494">
        <f t="shared" si="47"/>
        <v>90</v>
      </c>
      <c r="N75" s="494">
        <f t="shared" si="47"/>
        <v>90</v>
      </c>
      <c r="O75" t="s">
        <v>2539</v>
      </c>
    </row>
    <row r="76" spans="1:15">
      <c r="A76" s="13" t="str">
        <f>IF(Obal!A77=0,"",Obal!A77)</f>
        <v/>
      </c>
      <c r="B76" s="272" t="str">
        <f>IF(Obal!B76=0,"",Obal!B76)</f>
        <v/>
      </c>
      <c r="E76" s="535"/>
      <c r="F76" s="494"/>
      <c r="G76" s="494"/>
      <c r="H76" s="494"/>
      <c r="I76" s="494"/>
      <c r="J76" s="494"/>
      <c r="K76" s="494"/>
      <c r="L76" s="494"/>
      <c r="M76" s="494"/>
      <c r="N76" s="494"/>
    </row>
    <row r="77" spans="1:15">
      <c r="A77" s="13" t="str">
        <f>IF(Obal!A78=0,"",Obal!A78)</f>
        <v/>
      </c>
      <c r="B77" s="272" t="str">
        <f>IF(Obal!B77=0,"",Obal!B77)</f>
        <v>Commercial Marketing Budget</v>
      </c>
      <c r="E77" s="535">
        <f t="shared" ref="E77:L77" si="48">ROUND(decOpsCommercialMarketingBudget,2)</f>
        <v>0.55000000000000004</v>
      </c>
      <c r="F77" s="535">
        <f t="shared" si="48"/>
        <v>0.55000000000000004</v>
      </c>
      <c r="G77" s="535">
        <f t="shared" si="48"/>
        <v>0.55000000000000004</v>
      </c>
      <c r="H77" s="535">
        <f t="shared" si="48"/>
        <v>0.55000000000000004</v>
      </c>
      <c r="I77" s="535">
        <f t="shared" si="48"/>
        <v>0.55000000000000004</v>
      </c>
      <c r="J77" s="535">
        <f t="shared" si="48"/>
        <v>0.55000000000000004</v>
      </c>
      <c r="K77" s="535">
        <f t="shared" si="48"/>
        <v>0.55000000000000004</v>
      </c>
      <c r="L77" s="535">
        <f t="shared" si="48"/>
        <v>0.55000000000000004</v>
      </c>
      <c r="M77" s="535">
        <f t="shared" ref="M77:N77" si="49">decOpsCommercialMarketingBudget</f>
        <v>0.55000000000000004</v>
      </c>
      <c r="N77" s="535">
        <f t="shared" si="49"/>
        <v>0.55000000000000004</v>
      </c>
      <c r="O77" t="s">
        <v>2809</v>
      </c>
    </row>
    <row r="78" spans="1:15">
      <c r="A78" s="13" t="str">
        <f>IF(Obal!A79=0,"",Obal!A79)</f>
        <v/>
      </c>
      <c r="B78" s="272" t="str">
        <f>IF(Obal!B78=0,"",Obal!B78)</f>
        <v>Productivity &amp; Business Marketing Budget Pct</v>
      </c>
      <c r="E78" s="535">
        <f t="shared" ref="E78:L78" si="50">ROUND(decOpsCommercialProd1Marketing,2)</f>
        <v>0.4</v>
      </c>
      <c r="F78" s="535">
        <f t="shared" si="50"/>
        <v>0.4</v>
      </c>
      <c r="G78" s="535">
        <f t="shared" si="50"/>
        <v>0.4</v>
      </c>
      <c r="H78" s="535">
        <f t="shared" si="50"/>
        <v>0.4</v>
      </c>
      <c r="I78" s="535">
        <f t="shared" si="50"/>
        <v>0.4</v>
      </c>
      <c r="J78" s="535">
        <f t="shared" si="50"/>
        <v>0.4</v>
      </c>
      <c r="K78" s="535">
        <f t="shared" si="50"/>
        <v>0.4</v>
      </c>
      <c r="L78" s="535">
        <f t="shared" si="50"/>
        <v>0.4</v>
      </c>
      <c r="M78" s="535">
        <f t="shared" ref="M78:N78" si="51">decOpsCommercialProd1Marketing</f>
        <v>0.4</v>
      </c>
      <c r="N78" s="535">
        <f t="shared" si="51"/>
        <v>0.4</v>
      </c>
      <c r="O78" t="s">
        <v>2810</v>
      </c>
    </row>
    <row r="79" spans="1:15">
      <c r="A79" s="13" t="str">
        <f>IF(Obal!A80=0,"",Obal!A80)</f>
        <v/>
      </c>
      <c r="B79" s="272" t="str">
        <f>IF(Obal!B79=0,"",Obal!B79)</f>
        <v>Intelligent Cloud Marketing Budget Pct</v>
      </c>
      <c r="E79" s="535">
        <f t="shared" ref="E79:L79" si="52">ROUND(decOpsCommercialProd2Marketing,2)</f>
        <v>0.25</v>
      </c>
      <c r="F79" s="535">
        <f t="shared" si="52"/>
        <v>0.25</v>
      </c>
      <c r="G79" s="535">
        <f t="shared" si="52"/>
        <v>0.25</v>
      </c>
      <c r="H79" s="535">
        <f t="shared" si="52"/>
        <v>0.25</v>
      </c>
      <c r="I79" s="535">
        <f t="shared" si="52"/>
        <v>0.25</v>
      </c>
      <c r="J79" s="535">
        <f t="shared" si="52"/>
        <v>0.25</v>
      </c>
      <c r="K79" s="535">
        <f t="shared" si="52"/>
        <v>0.25</v>
      </c>
      <c r="L79" s="535">
        <f t="shared" si="52"/>
        <v>0.25</v>
      </c>
      <c r="M79" s="535">
        <f t="shared" ref="M79:N79" si="53">decOpsCommercialProd2Marketing</f>
        <v>0.25</v>
      </c>
      <c r="N79" s="535">
        <f t="shared" si="53"/>
        <v>0.25</v>
      </c>
      <c r="O79" t="s">
        <v>2811</v>
      </c>
    </row>
    <row r="80" spans="1:15">
      <c r="A80" s="13" t="str">
        <f>IF(Obal!A80=0,"",Obal!A80)</f>
        <v/>
      </c>
      <c r="B80" s="272" t="str">
        <f>IF(Obal!B80=0,"",Obal!B80)</f>
        <v>Personal Computing Marketing Budget Pct</v>
      </c>
      <c r="E80" s="535">
        <f t="shared" ref="E80:L80" si="54">ROUND(decOpsCommercialProd3Marketing,2)</f>
        <v>0.35</v>
      </c>
      <c r="F80" s="535">
        <f t="shared" si="54"/>
        <v>0.35</v>
      </c>
      <c r="G80" s="535">
        <f t="shared" si="54"/>
        <v>0.35</v>
      </c>
      <c r="H80" s="535">
        <f t="shared" si="54"/>
        <v>0.35</v>
      </c>
      <c r="I80" s="535">
        <f t="shared" si="54"/>
        <v>0.35</v>
      </c>
      <c r="J80" s="535">
        <f t="shared" si="54"/>
        <v>0.35</v>
      </c>
      <c r="K80" s="535">
        <f t="shared" si="54"/>
        <v>0.35</v>
      </c>
      <c r="L80" s="535">
        <f t="shared" si="54"/>
        <v>0.35</v>
      </c>
      <c r="M80" s="535">
        <f t="shared" ref="M80:N80" si="55">decOpsCommercialProd3Marketing</f>
        <v>0.35</v>
      </c>
      <c r="N80" s="535">
        <f t="shared" si="55"/>
        <v>0.35</v>
      </c>
      <c r="O80" t="s">
        <v>2812</v>
      </c>
    </row>
    <row r="81" spans="1:15">
      <c r="A81" s="13" t="str">
        <f>IF(Obal!A81=0,"",Obal!A81)</f>
        <v/>
      </c>
      <c r="B81" s="272" t="str">
        <f>IF(Obal!B81=0,"",Obal!B81)</f>
        <v/>
      </c>
      <c r="E81" s="494"/>
      <c r="F81" s="494"/>
      <c r="G81" s="494"/>
      <c r="H81" s="494"/>
      <c r="I81" s="494"/>
      <c r="J81" s="494"/>
      <c r="K81" s="494"/>
      <c r="L81" s="494"/>
      <c r="M81" s="494"/>
      <c r="N81" s="494"/>
    </row>
    <row r="82" spans="1:15">
      <c r="A82" s="13" t="str">
        <f>IF(Obal!A82=0,"",Obal!A82)</f>
        <v/>
      </c>
      <c r="B82" s="272" t="str">
        <f>IF(Obal!B82=0,"",Obal!B82)</f>
        <v>Commercial Marketing Budget</v>
      </c>
      <c r="E82" s="488">
        <f t="shared" ref="E82:N82" si="56">calcOpsCommercialTotalMarketingBudget</f>
        <v>825000.00000000012</v>
      </c>
      <c r="F82" s="488">
        <f t="shared" si="56"/>
        <v>825000.00000000012</v>
      </c>
      <c r="G82" s="488">
        <f t="shared" si="56"/>
        <v>825000.00000000012</v>
      </c>
      <c r="H82" s="488">
        <f t="shared" si="56"/>
        <v>825000.00000000012</v>
      </c>
      <c r="I82" s="488">
        <f t="shared" si="56"/>
        <v>825000.00000000012</v>
      </c>
      <c r="J82" s="488">
        <f t="shared" si="56"/>
        <v>825000.00000000012</v>
      </c>
      <c r="K82" s="488">
        <f t="shared" si="56"/>
        <v>825000.00000000012</v>
      </c>
      <c r="L82" s="488">
        <f t="shared" si="56"/>
        <v>825000.00000000012</v>
      </c>
      <c r="M82" s="488">
        <f t="shared" si="56"/>
        <v>825000.00000000012</v>
      </c>
      <c r="N82" s="488">
        <f t="shared" si="56"/>
        <v>825000.00000000012</v>
      </c>
      <c r="O82" t="s">
        <v>1279</v>
      </c>
    </row>
    <row r="83" spans="1:15">
      <c r="A83" s="13" t="str">
        <f>IF(Obal!A83=0,"",Obal!A83)</f>
        <v/>
      </c>
      <c r="B83" s="272" t="str">
        <f>IF(Obal!B83=0,"",Obal!B83)</f>
        <v>Productivity &amp; Business Marketing Budget Pct</v>
      </c>
      <c r="E83" s="488">
        <f t="shared" ref="E83:N83" si="57">calcOpsCommercialProd1MarketingBudget</f>
        <v>330000.00000000006</v>
      </c>
      <c r="F83" s="488">
        <f t="shared" si="57"/>
        <v>330000.00000000006</v>
      </c>
      <c r="G83" s="488">
        <f t="shared" si="57"/>
        <v>330000.00000000006</v>
      </c>
      <c r="H83" s="488">
        <f t="shared" si="57"/>
        <v>330000.00000000006</v>
      </c>
      <c r="I83" s="488">
        <f t="shared" si="57"/>
        <v>330000.00000000006</v>
      </c>
      <c r="J83" s="488">
        <f t="shared" si="57"/>
        <v>330000.00000000006</v>
      </c>
      <c r="K83" s="488">
        <f t="shared" si="57"/>
        <v>330000.00000000006</v>
      </c>
      <c r="L83" s="488">
        <f t="shared" si="57"/>
        <v>330000.00000000006</v>
      </c>
      <c r="M83" s="488">
        <f t="shared" si="57"/>
        <v>330000.00000000006</v>
      </c>
      <c r="N83" s="488">
        <f t="shared" si="57"/>
        <v>330000.00000000006</v>
      </c>
      <c r="O83" t="s">
        <v>1280</v>
      </c>
    </row>
    <row r="84" spans="1:15">
      <c r="A84" s="13" t="str">
        <f>IF(Obal!A84=0,"",Obal!A84)</f>
        <v/>
      </c>
      <c r="B84" s="272" t="str">
        <f>IF(Obal!B84=0,"",Obal!B84)</f>
        <v>Intelligent Cloud Marketing Budget Pct</v>
      </c>
      <c r="E84" s="488">
        <f t="shared" ref="E84:N84" si="58">calcOpsCommercialProd2MarketingBudget</f>
        <v>206250.00000000003</v>
      </c>
      <c r="F84" s="488">
        <f t="shared" si="58"/>
        <v>206250.00000000003</v>
      </c>
      <c r="G84" s="488">
        <f t="shared" si="58"/>
        <v>206250.00000000003</v>
      </c>
      <c r="H84" s="488">
        <f t="shared" si="58"/>
        <v>206250.00000000003</v>
      </c>
      <c r="I84" s="488">
        <f t="shared" si="58"/>
        <v>206250.00000000003</v>
      </c>
      <c r="J84" s="488">
        <f t="shared" si="58"/>
        <v>206250.00000000003</v>
      </c>
      <c r="K84" s="488">
        <f t="shared" si="58"/>
        <v>206250.00000000003</v>
      </c>
      <c r="L84" s="488">
        <f t="shared" si="58"/>
        <v>206250.00000000003</v>
      </c>
      <c r="M84" s="488">
        <f t="shared" si="58"/>
        <v>206250.00000000003</v>
      </c>
      <c r="N84" s="488">
        <f t="shared" si="58"/>
        <v>206250.00000000003</v>
      </c>
      <c r="O84" t="s">
        <v>1281</v>
      </c>
    </row>
    <row r="85" spans="1:15">
      <c r="A85" s="13" t="str">
        <f>IF(Obal!A85=0,"",Obal!A85)</f>
        <v/>
      </c>
      <c r="B85" s="272" t="str">
        <f>IF(Obal!B85=0,"",Obal!B85)</f>
        <v>Personal Computing Marketing Budget Pct</v>
      </c>
      <c r="E85" s="488">
        <f t="shared" ref="E85:N85" si="59">calcOpsCommercialProd3MarketingBudget</f>
        <v>288750</v>
      </c>
      <c r="F85" s="488">
        <f t="shared" si="59"/>
        <v>288750</v>
      </c>
      <c r="G85" s="488">
        <f t="shared" si="59"/>
        <v>288750</v>
      </c>
      <c r="H85" s="488">
        <f t="shared" si="59"/>
        <v>288750</v>
      </c>
      <c r="I85" s="488">
        <f t="shared" si="59"/>
        <v>288750</v>
      </c>
      <c r="J85" s="488">
        <f t="shared" si="59"/>
        <v>288750</v>
      </c>
      <c r="K85" s="488">
        <f t="shared" si="59"/>
        <v>288750</v>
      </c>
      <c r="L85" s="488">
        <f t="shared" si="59"/>
        <v>288750</v>
      </c>
      <c r="M85" s="488">
        <f t="shared" si="59"/>
        <v>288750</v>
      </c>
      <c r="N85" s="488">
        <f t="shared" si="59"/>
        <v>288750</v>
      </c>
      <c r="O85" t="s">
        <v>1282</v>
      </c>
    </row>
    <row r="86" spans="1:15">
      <c r="A86" s="13" t="str">
        <f>IF(Obal!A86=0,"",Obal!A86)</f>
        <v/>
      </c>
      <c r="B86" s="272" t="str">
        <f>IF(Obal!B86=0,"",Obal!B86)</f>
        <v/>
      </c>
      <c r="E86" s="494"/>
      <c r="F86" s="494"/>
      <c r="G86" s="494"/>
      <c r="H86" s="494"/>
      <c r="I86" s="494"/>
      <c r="J86" s="494"/>
      <c r="K86" s="494"/>
      <c r="L86" s="494"/>
      <c r="M86" s="494"/>
      <c r="N86" s="494"/>
    </row>
    <row r="87" spans="1:15">
      <c r="A87" s="13" t="str">
        <f>IF(Obal!A87=0,"",Obal!A87)</f>
        <v/>
      </c>
      <c r="B87" s="272" t="str">
        <f>IF(Obal!B87=0,"",Obal!B87)</f>
        <v>Partner Development</v>
      </c>
      <c r="E87" s="494">
        <f t="shared" ref="E87:N87" si="60">calcCommercialPartnerDevelopment</f>
        <v>5</v>
      </c>
      <c r="F87" s="494">
        <f t="shared" si="60"/>
        <v>5</v>
      </c>
      <c r="G87" s="494">
        <f t="shared" si="60"/>
        <v>5</v>
      </c>
      <c r="H87" s="494">
        <f t="shared" si="60"/>
        <v>5</v>
      </c>
      <c r="I87" s="494">
        <f t="shared" si="60"/>
        <v>5</v>
      </c>
      <c r="J87" s="494">
        <f t="shared" si="60"/>
        <v>5</v>
      </c>
      <c r="K87" s="494">
        <f t="shared" si="60"/>
        <v>5</v>
      </c>
      <c r="L87" s="494">
        <f t="shared" si="60"/>
        <v>5</v>
      </c>
      <c r="M87" s="494">
        <f t="shared" si="60"/>
        <v>5</v>
      </c>
      <c r="N87" s="494">
        <f t="shared" si="60"/>
        <v>5</v>
      </c>
      <c r="O87" t="s">
        <v>1283</v>
      </c>
    </row>
    <row r="88" spans="1:15">
      <c r="A88" s="13" t="str">
        <f>IF(Obal!A88=0,"",Obal!A88)</f>
        <v/>
      </c>
      <c r="B88" s="272" t="str">
        <f>IF(Obal!B88=0,"",Obal!B88)</f>
        <v>Partner Incentives</v>
      </c>
      <c r="E88" s="494">
        <f t="shared" ref="E88:N88" si="61">calcCommercialPartnerIncentives</f>
        <v>4</v>
      </c>
      <c r="F88" s="494">
        <f t="shared" si="61"/>
        <v>4</v>
      </c>
      <c r="G88" s="494">
        <f t="shared" si="61"/>
        <v>4</v>
      </c>
      <c r="H88" s="494">
        <f t="shared" si="61"/>
        <v>4</v>
      </c>
      <c r="I88" s="494">
        <f t="shared" si="61"/>
        <v>4</v>
      </c>
      <c r="J88" s="494">
        <f t="shared" si="61"/>
        <v>4</v>
      </c>
      <c r="K88" s="494">
        <f t="shared" si="61"/>
        <v>4</v>
      </c>
      <c r="L88" s="494">
        <f t="shared" si="61"/>
        <v>4</v>
      </c>
      <c r="M88" s="494">
        <f t="shared" si="61"/>
        <v>4</v>
      </c>
      <c r="N88" s="494">
        <f t="shared" si="61"/>
        <v>4</v>
      </c>
      <c r="O88" t="s">
        <v>1284</v>
      </c>
    </row>
    <row r="89" spans="1:15">
      <c r="A89" s="13" t="str">
        <f>IF(Obal!A89=0,"",Obal!A89)</f>
        <v/>
      </c>
      <c r="B89" s="272" t="str">
        <f>IF(Obal!B89=0,"",Obal!B89)</f>
        <v>Partner Education</v>
      </c>
      <c r="E89" s="494">
        <f t="shared" ref="E89:N89" si="62">calcCommercialPartnerEducation</f>
        <v>3</v>
      </c>
      <c r="F89" s="494">
        <f t="shared" si="62"/>
        <v>3</v>
      </c>
      <c r="G89" s="494">
        <f t="shared" si="62"/>
        <v>3</v>
      </c>
      <c r="H89" s="494">
        <f t="shared" si="62"/>
        <v>3</v>
      </c>
      <c r="I89" s="494">
        <f t="shared" si="62"/>
        <v>3</v>
      </c>
      <c r="J89" s="494">
        <f t="shared" si="62"/>
        <v>3</v>
      </c>
      <c r="K89" s="494">
        <f t="shared" si="62"/>
        <v>3</v>
      </c>
      <c r="L89" s="494">
        <f t="shared" si="62"/>
        <v>3</v>
      </c>
      <c r="M89" s="494">
        <f t="shared" si="62"/>
        <v>3</v>
      </c>
      <c r="N89" s="494">
        <f t="shared" si="62"/>
        <v>3</v>
      </c>
      <c r="O89" t="s">
        <v>1285</v>
      </c>
    </row>
    <row r="90" spans="1:15">
      <c r="A90" s="13" t="str">
        <f>IF(Obal!A90=0,"",Obal!A90)</f>
        <v/>
      </c>
      <c r="B90" s="272" t="str">
        <f>IF(Obal!B90=0,"",Obal!B90)</f>
        <v/>
      </c>
      <c r="E90" s="494"/>
      <c r="F90" s="494"/>
      <c r="G90" s="494"/>
      <c r="H90" s="494"/>
      <c r="I90" s="494"/>
      <c r="J90" s="494"/>
      <c r="K90" s="494"/>
      <c r="L90" s="494"/>
      <c r="M90" s="494"/>
      <c r="N90" s="494"/>
    </row>
    <row r="91" spans="1:15">
      <c r="A91" s="13" t="str">
        <f>IF(Obal!A91=0,"",Obal!A91)</f>
        <v/>
      </c>
      <c r="B91" s="272" t="str">
        <f>IF(Obal!B91=0,"",Obal!B91)</f>
        <v>ISV Percent</v>
      </c>
      <c r="E91" s="535">
        <f t="shared" ref="E91:N91" si="63">ROUND(decCommercialPartner1Pct,2)</f>
        <v>0.25</v>
      </c>
      <c r="F91" s="535">
        <f t="shared" si="63"/>
        <v>0.25</v>
      </c>
      <c r="G91" s="535">
        <f t="shared" si="63"/>
        <v>0.25</v>
      </c>
      <c r="H91" s="535">
        <f t="shared" si="63"/>
        <v>0.25</v>
      </c>
      <c r="I91" s="535">
        <f t="shared" si="63"/>
        <v>0.25</v>
      </c>
      <c r="J91" s="535">
        <f t="shared" si="63"/>
        <v>0.25</v>
      </c>
      <c r="K91" s="535">
        <f t="shared" si="63"/>
        <v>0.25</v>
      </c>
      <c r="L91" s="535">
        <f t="shared" si="63"/>
        <v>0.25</v>
      </c>
      <c r="M91" s="535">
        <f t="shared" si="63"/>
        <v>0.25</v>
      </c>
      <c r="N91" s="535">
        <f t="shared" si="63"/>
        <v>0.25</v>
      </c>
      <c r="O91" t="s">
        <v>1286</v>
      </c>
    </row>
    <row r="92" spans="1:15">
      <c r="A92" s="13" t="str">
        <f>IF(Obal!A92=0,"",Obal!A92)</f>
        <v/>
      </c>
      <c r="B92" s="272" t="str">
        <f>IF(Obal!B92=0,"",Obal!B92)</f>
        <v>Systems Integrators Percent</v>
      </c>
      <c r="E92" s="535">
        <f t="shared" ref="E92:N92" si="64">ROUND(decCommercialPartner2Pct,2)</f>
        <v>0.2</v>
      </c>
      <c r="F92" s="535">
        <f t="shared" si="64"/>
        <v>0.2</v>
      </c>
      <c r="G92" s="535">
        <f t="shared" si="64"/>
        <v>0.2</v>
      </c>
      <c r="H92" s="535">
        <f t="shared" si="64"/>
        <v>0.2</v>
      </c>
      <c r="I92" s="535">
        <f t="shared" si="64"/>
        <v>0.2</v>
      </c>
      <c r="J92" s="535">
        <f t="shared" si="64"/>
        <v>0.2</v>
      </c>
      <c r="K92" s="535">
        <f t="shared" si="64"/>
        <v>0.2</v>
      </c>
      <c r="L92" s="535">
        <f t="shared" si="64"/>
        <v>0.2</v>
      </c>
      <c r="M92" s="535">
        <f t="shared" si="64"/>
        <v>0.2</v>
      </c>
      <c r="N92" s="535">
        <f t="shared" si="64"/>
        <v>0.2</v>
      </c>
      <c r="O92" t="s">
        <v>1287</v>
      </c>
    </row>
    <row r="93" spans="1:15">
      <c r="A93" s="13" t="str">
        <f>IF(Obal!A93=0,"",Obal!A93)</f>
        <v/>
      </c>
      <c r="B93" s="272" t="str">
        <f>IF(Obal!B93=0,"",Obal!B93)</f>
        <v>Managed Services Percent</v>
      </c>
      <c r="E93" s="535">
        <f t="shared" ref="E93:N93" si="65">ROUND(decCommercialPartner3Pct,2)</f>
        <v>0.22</v>
      </c>
      <c r="F93" s="535">
        <f t="shared" si="65"/>
        <v>0.22</v>
      </c>
      <c r="G93" s="535">
        <f t="shared" si="65"/>
        <v>0.22</v>
      </c>
      <c r="H93" s="535">
        <f t="shared" si="65"/>
        <v>0.22</v>
      </c>
      <c r="I93" s="535">
        <f t="shared" si="65"/>
        <v>0.22</v>
      </c>
      <c r="J93" s="535">
        <f t="shared" si="65"/>
        <v>0.22</v>
      </c>
      <c r="K93" s="535">
        <f t="shared" si="65"/>
        <v>0.22</v>
      </c>
      <c r="L93" s="535">
        <f t="shared" si="65"/>
        <v>0.22</v>
      </c>
      <c r="M93" s="535">
        <f t="shared" si="65"/>
        <v>0.22</v>
      </c>
      <c r="N93" s="535">
        <f t="shared" si="65"/>
        <v>0.22</v>
      </c>
      <c r="O93" t="s">
        <v>1288</v>
      </c>
    </row>
    <row r="94" spans="1:15">
      <c r="A94" s="13" t="str">
        <f>IF(Obal!A94=0,"",Obal!A94)</f>
        <v/>
      </c>
      <c r="B94" s="272" t="str">
        <f>IF(Obal!B94=0,"",Obal!B94)</f>
        <v>Channels Percent</v>
      </c>
      <c r="E94" s="535">
        <f t="shared" ref="E94:N94" si="66">ROUND(decCommercialPartner4Pct,2)</f>
        <v>0.33</v>
      </c>
      <c r="F94" s="535">
        <f t="shared" si="66"/>
        <v>0.33</v>
      </c>
      <c r="G94" s="535">
        <f t="shared" si="66"/>
        <v>0.33</v>
      </c>
      <c r="H94" s="535">
        <f t="shared" si="66"/>
        <v>0.33</v>
      </c>
      <c r="I94" s="535">
        <f t="shared" si="66"/>
        <v>0.33</v>
      </c>
      <c r="J94" s="535">
        <f t="shared" si="66"/>
        <v>0.33</v>
      </c>
      <c r="K94" s="535">
        <f t="shared" si="66"/>
        <v>0.33</v>
      </c>
      <c r="L94" s="535">
        <f t="shared" si="66"/>
        <v>0.33</v>
      </c>
      <c r="M94" s="535">
        <f t="shared" si="66"/>
        <v>0.33</v>
      </c>
      <c r="N94" s="535">
        <f t="shared" si="66"/>
        <v>0.33</v>
      </c>
      <c r="O94" t="s">
        <v>1289</v>
      </c>
    </row>
    <row r="95" spans="1:15">
      <c r="A95" s="13" t="str">
        <f>IF(Obal!A95=0,"",Obal!A95)</f>
        <v/>
      </c>
      <c r="B95" s="272" t="str">
        <f>IF(Obal!B95=0,"",Obal!B95)</f>
        <v/>
      </c>
      <c r="E95" s="19"/>
      <c r="F95" s="19"/>
      <c r="G95" s="19"/>
      <c r="H95" s="19"/>
      <c r="I95" s="19"/>
      <c r="J95" s="19"/>
      <c r="K95" s="19"/>
      <c r="L95" s="19"/>
      <c r="M95" s="19"/>
      <c r="N95" s="19"/>
    </row>
    <row r="96" spans="1:15">
      <c r="A96" s="13" t="str">
        <f>IF(Obal!A96=0,"",Obal!A96)</f>
        <v/>
      </c>
      <c r="B96" s="272" t="str">
        <f>IF(Obal!B96=0,"",Obal!B96)</f>
        <v>Total Partner Budget</v>
      </c>
      <c r="E96" s="496">
        <f t="shared" ref="E96:N96" si="67">calcCommercialTotalPartnerBudget</f>
        <v>2500000</v>
      </c>
      <c r="F96" s="496">
        <f t="shared" si="67"/>
        <v>2500000</v>
      </c>
      <c r="G96" s="496">
        <f t="shared" si="67"/>
        <v>2500000</v>
      </c>
      <c r="H96" s="496">
        <f t="shared" si="67"/>
        <v>2500000</v>
      </c>
      <c r="I96" s="496">
        <f t="shared" si="67"/>
        <v>2500000</v>
      </c>
      <c r="J96" s="496">
        <f t="shared" si="67"/>
        <v>2500000</v>
      </c>
      <c r="K96" s="496">
        <f t="shared" si="67"/>
        <v>2500000</v>
      </c>
      <c r="L96" s="496">
        <f t="shared" si="67"/>
        <v>2500000</v>
      </c>
      <c r="M96" s="496">
        <f t="shared" si="67"/>
        <v>2500000</v>
      </c>
      <c r="N96" s="496">
        <f t="shared" si="67"/>
        <v>2500000</v>
      </c>
      <c r="O96" t="s">
        <v>1290</v>
      </c>
    </row>
    <row r="97" spans="1:15">
      <c r="A97" s="13" t="str">
        <f>IF(Obal!A97=0,"",Obal!A97)</f>
        <v/>
      </c>
      <c r="B97" s="272" t="str">
        <f>IF(Obal!B97=0,"",Obal!B97)</f>
        <v>ISV Budget</v>
      </c>
      <c r="E97" s="496">
        <f t="shared" ref="E97:N97" si="68">calcCommercialPartner1Budget</f>
        <v>625000</v>
      </c>
      <c r="F97" s="496">
        <f t="shared" si="68"/>
        <v>625000</v>
      </c>
      <c r="G97" s="496">
        <f t="shared" si="68"/>
        <v>625000</v>
      </c>
      <c r="H97" s="496">
        <f t="shared" si="68"/>
        <v>625000</v>
      </c>
      <c r="I97" s="496">
        <f t="shared" si="68"/>
        <v>625000</v>
      </c>
      <c r="J97" s="496">
        <f t="shared" si="68"/>
        <v>625000</v>
      </c>
      <c r="K97" s="496">
        <f t="shared" si="68"/>
        <v>625000</v>
      </c>
      <c r="L97" s="496">
        <f t="shared" si="68"/>
        <v>625000</v>
      </c>
      <c r="M97" s="496">
        <f t="shared" si="68"/>
        <v>625000</v>
      </c>
      <c r="N97" s="496">
        <f t="shared" si="68"/>
        <v>625000</v>
      </c>
      <c r="O97" t="s">
        <v>1291</v>
      </c>
    </row>
    <row r="98" spans="1:15">
      <c r="A98" s="13" t="str">
        <f>IF(Obal!A98=0,"",Obal!A98)</f>
        <v/>
      </c>
      <c r="B98" s="272" t="str">
        <f>IF(Obal!B98=0,"",Obal!B98)</f>
        <v>Systems Integrators Budget</v>
      </c>
      <c r="E98" s="496">
        <f t="shared" ref="E98:N98" si="69">calcCommercialPartner2Budget</f>
        <v>500000</v>
      </c>
      <c r="F98" s="496">
        <f t="shared" si="69"/>
        <v>500000</v>
      </c>
      <c r="G98" s="496">
        <f t="shared" si="69"/>
        <v>500000</v>
      </c>
      <c r="H98" s="496">
        <f t="shared" si="69"/>
        <v>500000</v>
      </c>
      <c r="I98" s="496">
        <f t="shared" si="69"/>
        <v>500000</v>
      </c>
      <c r="J98" s="496">
        <f t="shared" si="69"/>
        <v>500000</v>
      </c>
      <c r="K98" s="496">
        <f t="shared" si="69"/>
        <v>500000</v>
      </c>
      <c r="L98" s="496">
        <f t="shared" si="69"/>
        <v>500000</v>
      </c>
      <c r="M98" s="496">
        <f t="shared" si="69"/>
        <v>500000</v>
      </c>
      <c r="N98" s="496">
        <f t="shared" si="69"/>
        <v>500000</v>
      </c>
      <c r="O98" t="s">
        <v>1292</v>
      </c>
    </row>
    <row r="99" spans="1:15">
      <c r="A99" s="13" t="str">
        <f>IF(Obal!A99=0,"",Obal!A99)</f>
        <v/>
      </c>
      <c r="B99" s="272" t="str">
        <f>IF(Obal!B99=0,"",Obal!B99)</f>
        <v>Managed Services Budget</v>
      </c>
      <c r="E99" s="496">
        <f t="shared" ref="E99:N99" si="70">calcCommercialPartner3Budget</f>
        <v>550000</v>
      </c>
      <c r="F99" s="496">
        <f t="shared" si="70"/>
        <v>550000</v>
      </c>
      <c r="G99" s="496">
        <f t="shared" si="70"/>
        <v>550000</v>
      </c>
      <c r="H99" s="496">
        <f t="shared" si="70"/>
        <v>550000</v>
      </c>
      <c r="I99" s="496">
        <f t="shared" si="70"/>
        <v>550000</v>
      </c>
      <c r="J99" s="496">
        <f t="shared" si="70"/>
        <v>550000</v>
      </c>
      <c r="K99" s="496">
        <f t="shared" si="70"/>
        <v>550000</v>
      </c>
      <c r="L99" s="496">
        <f t="shared" si="70"/>
        <v>550000</v>
      </c>
      <c r="M99" s="496">
        <f t="shared" si="70"/>
        <v>550000</v>
      </c>
      <c r="N99" s="496">
        <f t="shared" si="70"/>
        <v>550000</v>
      </c>
      <c r="O99" t="s">
        <v>1293</v>
      </c>
    </row>
    <row r="100" spans="1:15">
      <c r="A100" s="13" t="str">
        <f>IF(Obal!A100=0,"",Obal!A100)</f>
        <v/>
      </c>
      <c r="B100" s="272" t="str">
        <f>IF(Obal!B100=0,"",Obal!B100)</f>
        <v>Channels Budget</v>
      </c>
      <c r="E100" s="496">
        <f t="shared" ref="E100:N100" si="71">calcCommercialPartner4Budget</f>
        <v>825000.00000000023</v>
      </c>
      <c r="F100" s="496">
        <f t="shared" si="71"/>
        <v>825000.00000000023</v>
      </c>
      <c r="G100" s="496">
        <f t="shared" si="71"/>
        <v>825000.00000000023</v>
      </c>
      <c r="H100" s="496">
        <f t="shared" si="71"/>
        <v>825000.00000000023</v>
      </c>
      <c r="I100" s="496">
        <f t="shared" si="71"/>
        <v>825000.00000000023</v>
      </c>
      <c r="J100" s="496">
        <f t="shared" si="71"/>
        <v>825000.00000000023</v>
      </c>
      <c r="K100" s="496">
        <f t="shared" si="71"/>
        <v>825000.00000000023</v>
      </c>
      <c r="L100" s="496">
        <f t="shared" si="71"/>
        <v>825000.00000000023</v>
      </c>
      <c r="M100" s="496">
        <f t="shared" si="71"/>
        <v>825000.00000000023</v>
      </c>
      <c r="N100" s="496">
        <f t="shared" si="71"/>
        <v>825000.00000000023</v>
      </c>
      <c r="O100" t="s">
        <v>1294</v>
      </c>
    </row>
    <row r="101" spans="1:15">
      <c r="A101" s="13" t="str">
        <f>IF(Obal!A101=0,"",Obal!A101)</f>
        <v/>
      </c>
      <c r="B101" s="272" t="str">
        <f>IF(Obal!B101=0,"",Obal!B101)</f>
        <v/>
      </c>
      <c r="E101" s="19"/>
      <c r="F101" s="19"/>
      <c r="G101" s="19"/>
      <c r="H101" s="19"/>
      <c r="I101" s="19"/>
      <c r="J101" s="19"/>
      <c r="K101" s="19"/>
      <c r="L101" s="19"/>
      <c r="M101" s="19"/>
      <c r="N101" s="19"/>
    </row>
    <row r="102" spans="1:15">
      <c r="A102" s="13" t="str">
        <f>IF(Obal!A102=0,"",Obal!A102)</f>
        <v/>
      </c>
      <c r="B102" s="272" t="str">
        <f>IF(Obal!B102=0,"",Obal!B102)</f>
        <v>Total Partner FTEs</v>
      </c>
      <c r="E102" s="477">
        <f t="shared" ref="E102:N102" si="72">calcCommercialTotalPartnerFTEs</f>
        <v>0</v>
      </c>
      <c r="F102" s="477">
        <f t="shared" si="72"/>
        <v>0</v>
      </c>
      <c r="G102" s="477">
        <f t="shared" si="72"/>
        <v>0</v>
      </c>
      <c r="H102" s="477">
        <f t="shared" si="72"/>
        <v>0</v>
      </c>
      <c r="I102" s="477">
        <f t="shared" si="72"/>
        <v>0</v>
      </c>
      <c r="J102" s="477">
        <f t="shared" si="72"/>
        <v>0</v>
      </c>
      <c r="K102" s="477">
        <f t="shared" si="72"/>
        <v>0</v>
      </c>
      <c r="L102" s="477">
        <f t="shared" si="72"/>
        <v>0</v>
      </c>
      <c r="M102" s="477">
        <f t="shared" si="72"/>
        <v>0</v>
      </c>
      <c r="N102" s="477">
        <f t="shared" si="72"/>
        <v>0</v>
      </c>
      <c r="O102" t="s">
        <v>1325</v>
      </c>
    </row>
    <row r="103" spans="1:15">
      <c r="A103" s="13" t="str">
        <f>IF(Obal!A103=0,"",Obal!A103)</f>
        <v/>
      </c>
      <c r="B103" s="272" t="str">
        <f>IF(Obal!B103=0,"",Obal!B103)</f>
        <v>ISV FTEs</v>
      </c>
      <c r="E103" s="477">
        <f t="shared" ref="E103:N103" si="73">calcCommercialPartner1FTEs</f>
        <v>0</v>
      </c>
      <c r="F103" s="477">
        <f t="shared" si="73"/>
        <v>0</v>
      </c>
      <c r="G103" s="477">
        <f t="shared" si="73"/>
        <v>0</v>
      </c>
      <c r="H103" s="477">
        <f t="shared" si="73"/>
        <v>0</v>
      </c>
      <c r="I103" s="477">
        <f t="shared" si="73"/>
        <v>0</v>
      </c>
      <c r="J103" s="477">
        <f t="shared" si="73"/>
        <v>0</v>
      </c>
      <c r="K103" s="477">
        <f t="shared" si="73"/>
        <v>0</v>
      </c>
      <c r="L103" s="477">
        <f t="shared" si="73"/>
        <v>0</v>
      </c>
      <c r="M103" s="477">
        <f t="shared" si="73"/>
        <v>0</v>
      </c>
      <c r="N103" s="477">
        <f t="shared" si="73"/>
        <v>0</v>
      </c>
      <c r="O103" t="s">
        <v>1326</v>
      </c>
    </row>
    <row r="104" spans="1:15">
      <c r="A104" s="13" t="str">
        <f>IF(Obal!A104=0,"",Obal!A104)</f>
        <v/>
      </c>
      <c r="B104" s="272" t="str">
        <f>IF(Obal!B104=0,"",Obal!B104)</f>
        <v>Systems Integrators FTEs</v>
      </c>
      <c r="E104" s="477">
        <f t="shared" ref="E104:N104" si="74">calcCommercialPartner2FTEs</f>
        <v>0</v>
      </c>
      <c r="F104" s="477">
        <f t="shared" si="74"/>
        <v>0</v>
      </c>
      <c r="G104" s="477">
        <f t="shared" si="74"/>
        <v>0</v>
      </c>
      <c r="H104" s="477">
        <f t="shared" si="74"/>
        <v>0</v>
      </c>
      <c r="I104" s="477">
        <f t="shared" si="74"/>
        <v>0</v>
      </c>
      <c r="J104" s="477">
        <f t="shared" si="74"/>
        <v>0</v>
      </c>
      <c r="K104" s="477">
        <f t="shared" si="74"/>
        <v>0</v>
      </c>
      <c r="L104" s="477">
        <f t="shared" si="74"/>
        <v>0</v>
      </c>
      <c r="M104" s="477">
        <f t="shared" si="74"/>
        <v>0</v>
      </c>
      <c r="N104" s="477">
        <f t="shared" si="74"/>
        <v>0</v>
      </c>
      <c r="O104" t="s">
        <v>1327</v>
      </c>
    </row>
    <row r="105" spans="1:15">
      <c r="A105" s="13" t="str">
        <f>IF(Obal!A105=0,"",Obal!A105)</f>
        <v/>
      </c>
      <c r="B105" s="272" t="str">
        <f>IF(Obal!B105=0,"",Obal!B105)</f>
        <v>Managed Services FTEs</v>
      </c>
      <c r="E105" s="477">
        <f t="shared" ref="E105:N105" si="75">calcCommercialPartner3FTEs</f>
        <v>0</v>
      </c>
      <c r="F105" s="477">
        <f t="shared" si="75"/>
        <v>0</v>
      </c>
      <c r="G105" s="477">
        <f t="shared" si="75"/>
        <v>0</v>
      </c>
      <c r="H105" s="477">
        <f t="shared" si="75"/>
        <v>0</v>
      </c>
      <c r="I105" s="477">
        <f t="shared" si="75"/>
        <v>0</v>
      </c>
      <c r="J105" s="477">
        <f t="shared" si="75"/>
        <v>0</v>
      </c>
      <c r="K105" s="477">
        <f t="shared" si="75"/>
        <v>0</v>
      </c>
      <c r="L105" s="477">
        <f t="shared" si="75"/>
        <v>0</v>
      </c>
      <c r="M105" s="477">
        <f t="shared" si="75"/>
        <v>0</v>
      </c>
      <c r="N105" s="477">
        <f t="shared" si="75"/>
        <v>0</v>
      </c>
      <c r="O105" t="s">
        <v>1328</v>
      </c>
    </row>
    <row r="106" spans="1:15">
      <c r="A106" s="13" t="str">
        <f>IF(Obal!A106=0,"",Obal!A106)</f>
        <v/>
      </c>
      <c r="B106" s="272" t="str">
        <f>IF(Obal!B106=0,"",Obal!B106)</f>
        <v>Channels FTEs</v>
      </c>
      <c r="E106" s="477">
        <f t="shared" ref="E106:N106" si="76">calcCommercialPartner4FTEs</f>
        <v>0</v>
      </c>
      <c r="F106" s="477">
        <f t="shared" si="76"/>
        <v>0</v>
      </c>
      <c r="G106" s="477">
        <f t="shared" si="76"/>
        <v>0</v>
      </c>
      <c r="H106" s="477">
        <f t="shared" si="76"/>
        <v>0</v>
      </c>
      <c r="I106" s="477">
        <f t="shared" si="76"/>
        <v>0</v>
      </c>
      <c r="J106" s="477">
        <f t="shared" si="76"/>
        <v>0</v>
      </c>
      <c r="K106" s="477">
        <f t="shared" si="76"/>
        <v>0</v>
      </c>
      <c r="L106" s="477">
        <f t="shared" si="76"/>
        <v>0</v>
      </c>
      <c r="M106" s="477">
        <f t="shared" si="76"/>
        <v>0</v>
      </c>
      <c r="N106" s="477">
        <f t="shared" si="76"/>
        <v>0</v>
      </c>
      <c r="O106" t="s">
        <v>1329</v>
      </c>
    </row>
    <row r="107" spans="1:15">
      <c r="A107" s="13" t="str">
        <f>IF(Obal!A107=0,"",Obal!A107)</f>
        <v/>
      </c>
      <c r="B107" s="272" t="str">
        <f>IF(Obal!B107=0,"",Obal!B107)</f>
        <v/>
      </c>
      <c r="E107" s="494"/>
      <c r="F107" s="494"/>
      <c r="G107" s="494"/>
      <c r="H107" s="494"/>
      <c r="I107" s="494"/>
      <c r="J107" s="494"/>
      <c r="K107" s="494"/>
      <c r="L107" s="494"/>
      <c r="M107" s="494"/>
      <c r="N107" s="494"/>
      <c r="O107" s="497"/>
    </row>
    <row r="108" spans="1:15">
      <c r="A108" s="13" t="str">
        <f>IF(Obal!A108=0,"",Obal!A108)</f>
        <v>Consumer</v>
      </c>
      <c r="B108" s="272" t="str">
        <f>IF(Obal!B108=0,"",Obal!B108)</f>
        <v/>
      </c>
      <c r="E108" s="494"/>
      <c r="F108" s="494"/>
      <c r="G108" s="494"/>
      <c r="H108" s="494"/>
      <c r="I108" s="494"/>
      <c r="J108" s="494"/>
      <c r="K108" s="494"/>
      <c r="L108" s="494"/>
      <c r="M108" s="494"/>
      <c r="N108" s="494"/>
    </row>
    <row r="109" spans="1:15">
      <c r="A109" s="13" t="str">
        <f>IF(Obal!A109=0,"",Obal!A109)</f>
        <v/>
      </c>
      <c r="B109" s="272" t="str">
        <f>IF(Obal!B109=0,"",Obal!B109)</f>
        <v>Productivity &amp; Business Price</v>
      </c>
      <c r="E109" s="526">
        <f t="shared" ref="E109:N109" si="77">calcConsumerProd1Price</f>
        <v>15</v>
      </c>
      <c r="F109" s="526">
        <f t="shared" si="77"/>
        <v>15</v>
      </c>
      <c r="G109" s="526">
        <f t="shared" si="77"/>
        <v>15</v>
      </c>
      <c r="H109" s="526">
        <f t="shared" si="77"/>
        <v>15</v>
      </c>
      <c r="I109" s="526">
        <f t="shared" si="77"/>
        <v>15</v>
      </c>
      <c r="J109" s="526">
        <f t="shared" si="77"/>
        <v>15</v>
      </c>
      <c r="K109" s="526">
        <f t="shared" si="77"/>
        <v>15</v>
      </c>
      <c r="L109" s="526">
        <f t="shared" si="77"/>
        <v>15</v>
      </c>
      <c r="M109" s="526">
        <f t="shared" si="77"/>
        <v>15</v>
      </c>
      <c r="N109" s="526">
        <f t="shared" si="77"/>
        <v>15</v>
      </c>
      <c r="O109" t="s">
        <v>1295</v>
      </c>
    </row>
    <row r="110" spans="1:15">
      <c r="A110" s="13" t="str">
        <f>IF(Obal!A110=0,"",Obal!A110)</f>
        <v/>
      </c>
      <c r="B110" s="272" t="str">
        <f>IF(Obal!B110=0,"",Obal!B110)</f>
        <v>Personal Computing Price</v>
      </c>
      <c r="E110" s="526">
        <f t="shared" ref="E110:N110" si="78">calcConsumerProd3Price</f>
        <v>320</v>
      </c>
      <c r="F110" s="526">
        <f t="shared" si="78"/>
        <v>320</v>
      </c>
      <c r="G110" s="526">
        <f t="shared" si="78"/>
        <v>320</v>
      </c>
      <c r="H110" s="526">
        <f t="shared" si="78"/>
        <v>320</v>
      </c>
      <c r="I110" s="526">
        <f t="shared" si="78"/>
        <v>320</v>
      </c>
      <c r="J110" s="526">
        <f t="shared" si="78"/>
        <v>320</v>
      </c>
      <c r="K110" s="526">
        <f t="shared" si="78"/>
        <v>320</v>
      </c>
      <c r="L110" s="526">
        <f t="shared" si="78"/>
        <v>320</v>
      </c>
      <c r="M110" s="526">
        <f t="shared" si="78"/>
        <v>320</v>
      </c>
      <c r="N110" s="526">
        <f t="shared" si="78"/>
        <v>320</v>
      </c>
      <c r="O110" t="s">
        <v>1296</v>
      </c>
    </row>
    <row r="111" spans="1:15">
      <c r="A111" s="13" t="str">
        <f>IF(Obal!A111=0,"",Obal!A111)</f>
        <v/>
      </c>
      <c r="B111" s="272" t="str">
        <f>IF(Obal!B111=0,"",Obal!B111)</f>
        <v/>
      </c>
      <c r="E111" s="477"/>
      <c r="F111" s="477"/>
      <c r="G111" s="477"/>
      <c r="H111" s="477"/>
      <c r="I111" s="477"/>
      <c r="J111" s="477"/>
      <c r="K111" s="477"/>
      <c r="L111" s="477"/>
      <c r="M111" s="477"/>
      <c r="N111" s="477"/>
    </row>
    <row r="112" spans="1:15">
      <c r="A112" s="13" t="str">
        <f>IF(Obal!A112=0,"",Obal!A112)</f>
        <v/>
      </c>
      <c r="B112" s="272" t="str">
        <f>IF(Obal!B112=0,"",Obal!B112)</f>
        <v>Technical Expertise</v>
      </c>
      <c r="E112" s="477">
        <f t="shared" ref="E112:N112" si="79">calcConsumerSkill1</f>
        <v>8</v>
      </c>
      <c r="F112" s="477">
        <f t="shared" si="79"/>
        <v>8</v>
      </c>
      <c r="G112" s="477">
        <f t="shared" si="79"/>
        <v>8</v>
      </c>
      <c r="H112" s="477">
        <f t="shared" si="79"/>
        <v>8</v>
      </c>
      <c r="I112" s="477">
        <f t="shared" si="79"/>
        <v>8</v>
      </c>
      <c r="J112" s="477">
        <f t="shared" si="79"/>
        <v>8</v>
      </c>
      <c r="K112" s="477">
        <f t="shared" si="79"/>
        <v>8</v>
      </c>
      <c r="L112" s="477">
        <f t="shared" si="79"/>
        <v>8</v>
      </c>
      <c r="M112" s="477">
        <f t="shared" si="79"/>
        <v>8</v>
      </c>
      <c r="N112" s="477">
        <f t="shared" si="79"/>
        <v>8</v>
      </c>
      <c r="O112" t="s">
        <v>2628</v>
      </c>
    </row>
    <row r="113" spans="1:15">
      <c r="A113" s="13" t="str">
        <f>IF(Obal!A113=0,"",Obal!A113)</f>
        <v/>
      </c>
      <c r="B113" s="272" t="str">
        <f>IF(Obal!B113=0,"",Obal!B113)</f>
        <v>Consultative Skills</v>
      </c>
      <c r="E113" s="477">
        <f t="shared" ref="E113:N113" si="80">calcConsumerSkill2</f>
        <v>5</v>
      </c>
      <c r="F113" s="477">
        <f t="shared" si="80"/>
        <v>5</v>
      </c>
      <c r="G113" s="477">
        <f t="shared" si="80"/>
        <v>5</v>
      </c>
      <c r="H113" s="477">
        <f t="shared" si="80"/>
        <v>5</v>
      </c>
      <c r="I113" s="477">
        <f t="shared" si="80"/>
        <v>5</v>
      </c>
      <c r="J113" s="477">
        <f t="shared" si="80"/>
        <v>5</v>
      </c>
      <c r="K113" s="477">
        <f t="shared" si="80"/>
        <v>5</v>
      </c>
      <c r="L113" s="477">
        <f t="shared" si="80"/>
        <v>5</v>
      </c>
      <c r="M113" s="477">
        <f t="shared" si="80"/>
        <v>5</v>
      </c>
      <c r="N113" s="477">
        <f t="shared" si="80"/>
        <v>5</v>
      </c>
      <c r="O113" t="s">
        <v>2629</v>
      </c>
    </row>
    <row r="114" spans="1:15">
      <c r="A114" s="13" t="str">
        <f>IF(Obal!A114=0,"",Obal!A114)</f>
        <v/>
      </c>
      <c r="B114" s="272" t="str">
        <f>IF(Obal!B114=0,"",Obal!B114)</f>
        <v/>
      </c>
      <c r="E114" s="526"/>
      <c r="F114" s="526"/>
      <c r="G114" s="526"/>
      <c r="H114" s="526"/>
      <c r="I114" s="526"/>
      <c r="J114" s="526"/>
      <c r="K114" s="526"/>
      <c r="L114" s="526"/>
      <c r="M114" s="526"/>
      <c r="N114" s="526"/>
    </row>
    <row r="115" spans="1:15">
      <c r="A115" s="13" t="str">
        <f>IF(Obal!A115=0,"",Obal!A115)</f>
        <v/>
      </c>
      <c r="B115" s="272" t="str">
        <f>IF(Obal!B115=0,"",Obal!B115)</f>
        <v>Direct Sales FTEs</v>
      </c>
      <c r="E115" s="494">
        <f t="shared" ref="E115:N115" si="81">decConsumerDirectSalesFTEs</f>
        <v>190</v>
      </c>
      <c r="F115" s="494">
        <f t="shared" si="81"/>
        <v>190</v>
      </c>
      <c r="G115" s="494">
        <f t="shared" si="81"/>
        <v>190</v>
      </c>
      <c r="H115" s="494">
        <f t="shared" si="81"/>
        <v>190</v>
      </c>
      <c r="I115" s="494">
        <f t="shared" si="81"/>
        <v>190</v>
      </c>
      <c r="J115" s="494">
        <f t="shared" si="81"/>
        <v>190</v>
      </c>
      <c r="K115" s="494">
        <f t="shared" si="81"/>
        <v>190</v>
      </c>
      <c r="L115" s="494">
        <f t="shared" si="81"/>
        <v>190</v>
      </c>
      <c r="M115" s="494">
        <f t="shared" si="81"/>
        <v>190</v>
      </c>
      <c r="N115" s="494">
        <f t="shared" si="81"/>
        <v>190</v>
      </c>
      <c r="O115" t="s">
        <v>1297</v>
      </c>
    </row>
    <row r="116" spans="1:15">
      <c r="A116" s="13" t="str">
        <f>IF(Obal!A116=0,"",Obal!A116)</f>
        <v/>
      </c>
      <c r="B116" s="272" t="str">
        <f>IF(Obal!B116=0,"",Obal!B116)</f>
        <v>Inside Sales FTEs</v>
      </c>
      <c r="E116" s="494">
        <f t="shared" ref="E116:N116" si="82">decConsumerInsideSalesFTEs</f>
        <v>90</v>
      </c>
      <c r="F116" s="494">
        <f t="shared" si="82"/>
        <v>90</v>
      </c>
      <c r="G116" s="494">
        <f t="shared" si="82"/>
        <v>90</v>
      </c>
      <c r="H116" s="494">
        <f t="shared" si="82"/>
        <v>90</v>
      </c>
      <c r="I116" s="494">
        <f t="shared" si="82"/>
        <v>90</v>
      </c>
      <c r="J116" s="494">
        <f t="shared" si="82"/>
        <v>90</v>
      </c>
      <c r="K116" s="494">
        <f t="shared" si="82"/>
        <v>90</v>
      </c>
      <c r="L116" s="494">
        <f t="shared" si="82"/>
        <v>90</v>
      </c>
      <c r="M116" s="494">
        <f t="shared" si="82"/>
        <v>90</v>
      </c>
      <c r="N116" s="494">
        <f t="shared" si="82"/>
        <v>90</v>
      </c>
      <c r="O116" t="s">
        <v>1298</v>
      </c>
    </row>
    <row r="117" spans="1:15">
      <c r="A117" s="13" t="str">
        <f>IF(Obal!A117=0,"",Obal!A117)</f>
        <v/>
      </c>
      <c r="B117" s="272" t="str">
        <f>IF(Obal!B117=0,"",Obal!B117)</f>
        <v>Services FTEs</v>
      </c>
      <c r="E117" s="494">
        <f t="shared" ref="E117:N117" si="83">decConsumerServicesFTEs</f>
        <v>110</v>
      </c>
      <c r="F117" s="494">
        <f t="shared" si="83"/>
        <v>110</v>
      </c>
      <c r="G117" s="494">
        <f t="shared" si="83"/>
        <v>110</v>
      </c>
      <c r="H117" s="494">
        <f t="shared" si="83"/>
        <v>110</v>
      </c>
      <c r="I117" s="494">
        <f t="shared" si="83"/>
        <v>110</v>
      </c>
      <c r="J117" s="494">
        <f t="shared" si="83"/>
        <v>110</v>
      </c>
      <c r="K117" s="494">
        <f t="shared" si="83"/>
        <v>110</v>
      </c>
      <c r="L117" s="494">
        <f t="shared" si="83"/>
        <v>110</v>
      </c>
      <c r="M117" s="494">
        <f t="shared" si="83"/>
        <v>110</v>
      </c>
      <c r="N117" s="494">
        <f t="shared" si="83"/>
        <v>110</v>
      </c>
      <c r="O117" t="s">
        <v>1299</v>
      </c>
    </row>
    <row r="118" spans="1:15">
      <c r="A118" s="13" t="str">
        <f>IF(Obal!A118=0,"",Obal!A118)</f>
        <v/>
      </c>
      <c r="B118" s="272" t="str">
        <f>IF(Obal!B118=0,"",Obal!B118)</f>
        <v/>
      </c>
      <c r="E118" s="494"/>
      <c r="F118" s="494"/>
      <c r="G118" s="494"/>
      <c r="H118" s="494"/>
      <c r="I118" s="494"/>
      <c r="J118" s="494"/>
      <c r="K118" s="494"/>
      <c r="L118" s="494"/>
      <c r="M118" s="494"/>
      <c r="N118" s="494"/>
    </row>
    <row r="119" spans="1:15">
      <c r="A119" s="13" t="str">
        <f>IF(Obal!A119=0,"",Obal!A119)</f>
        <v/>
      </c>
      <c r="B119" s="272" t="str">
        <f>IF(Obal!B119=0,"",Obal!B119)</f>
        <v>Consumer Marketing Budget</v>
      </c>
      <c r="E119" s="535">
        <f t="shared" ref="E119:L119" si="84">ROUND(decOpsCommercialMarketingBudget,2)</f>
        <v>0.55000000000000004</v>
      </c>
      <c r="F119" s="535">
        <f t="shared" si="84"/>
        <v>0.55000000000000004</v>
      </c>
      <c r="G119" s="535">
        <f t="shared" si="84"/>
        <v>0.55000000000000004</v>
      </c>
      <c r="H119" s="535">
        <f t="shared" si="84"/>
        <v>0.55000000000000004</v>
      </c>
      <c r="I119" s="535">
        <f t="shared" si="84"/>
        <v>0.55000000000000004</v>
      </c>
      <c r="J119" s="535">
        <f t="shared" si="84"/>
        <v>0.55000000000000004</v>
      </c>
      <c r="K119" s="535">
        <f t="shared" si="84"/>
        <v>0.55000000000000004</v>
      </c>
      <c r="L119" s="535">
        <f t="shared" si="84"/>
        <v>0.55000000000000004</v>
      </c>
      <c r="M119" s="535">
        <f t="shared" ref="M119:N119" si="85">decOpsCommercialMarketingBudget</f>
        <v>0.55000000000000004</v>
      </c>
      <c r="N119" s="535">
        <f t="shared" si="85"/>
        <v>0.55000000000000004</v>
      </c>
      <c r="O119" t="s">
        <v>2808</v>
      </c>
    </row>
    <row r="120" spans="1:15">
      <c r="A120" s="13" t="str">
        <f>IF(Obal!A120=0,"",Obal!A120)</f>
        <v/>
      </c>
      <c r="B120" s="272" t="str">
        <f>IF(Obal!B120=0,"",Obal!B120)</f>
        <v>Productivity &amp; Business Marketing Budget Pct</v>
      </c>
      <c r="E120" s="535">
        <f t="shared" ref="E120:L120" si="86">ROUND(decOpsCommercialProd1Marketing,2)</f>
        <v>0.4</v>
      </c>
      <c r="F120" s="535">
        <f t="shared" si="86"/>
        <v>0.4</v>
      </c>
      <c r="G120" s="535">
        <f t="shared" si="86"/>
        <v>0.4</v>
      </c>
      <c r="H120" s="535">
        <f t="shared" si="86"/>
        <v>0.4</v>
      </c>
      <c r="I120" s="535">
        <f t="shared" si="86"/>
        <v>0.4</v>
      </c>
      <c r="J120" s="535">
        <f t="shared" si="86"/>
        <v>0.4</v>
      </c>
      <c r="K120" s="535">
        <f t="shared" si="86"/>
        <v>0.4</v>
      </c>
      <c r="L120" s="535">
        <f t="shared" si="86"/>
        <v>0.4</v>
      </c>
      <c r="M120" s="535">
        <f t="shared" ref="M120:N120" si="87">decOpsCommercialProd1Marketing</f>
        <v>0.4</v>
      </c>
      <c r="N120" s="535">
        <f t="shared" si="87"/>
        <v>0.4</v>
      </c>
      <c r="O120" t="s">
        <v>2807</v>
      </c>
    </row>
    <row r="121" spans="1:15">
      <c r="A121" s="13" t="str">
        <f>IF(Obal!A121=0,"",Obal!A121)</f>
        <v/>
      </c>
      <c r="B121" s="272" t="str">
        <f>IF(Obal!B121=0,"",Obal!B121)</f>
        <v>Personal Computing Marketing Budget Pct</v>
      </c>
      <c r="E121" s="535">
        <f t="shared" ref="E121:L121" si="88">ROUND(decOpsCommercialProd3Marketing,2)</f>
        <v>0.35</v>
      </c>
      <c r="F121" s="535">
        <f t="shared" si="88"/>
        <v>0.35</v>
      </c>
      <c r="G121" s="535">
        <f t="shared" si="88"/>
        <v>0.35</v>
      </c>
      <c r="H121" s="535">
        <f t="shared" si="88"/>
        <v>0.35</v>
      </c>
      <c r="I121" s="535">
        <f t="shared" si="88"/>
        <v>0.35</v>
      </c>
      <c r="J121" s="535">
        <f t="shared" si="88"/>
        <v>0.35</v>
      </c>
      <c r="K121" s="535">
        <f t="shared" si="88"/>
        <v>0.35</v>
      </c>
      <c r="L121" s="535">
        <f t="shared" si="88"/>
        <v>0.35</v>
      </c>
      <c r="M121" s="535">
        <f t="shared" ref="M121:N121" si="89">decOpsCommercialProd3Marketing</f>
        <v>0.35</v>
      </c>
      <c r="N121" s="535">
        <f t="shared" si="89"/>
        <v>0.35</v>
      </c>
      <c r="O121" t="s">
        <v>2806</v>
      </c>
    </row>
    <row r="122" spans="1:15">
      <c r="A122" s="13" t="str">
        <f>IF(Obal!A122=0,"",Obal!A122)</f>
        <v/>
      </c>
      <c r="B122" s="272" t="str">
        <f>IF(Obal!B122=0,"",Obal!B122)</f>
        <v/>
      </c>
      <c r="E122" s="494"/>
      <c r="F122" s="494"/>
      <c r="G122" s="494"/>
      <c r="H122" s="494"/>
      <c r="I122" s="494"/>
      <c r="J122" s="494"/>
      <c r="K122" s="494"/>
      <c r="L122" s="494"/>
      <c r="M122" s="494"/>
      <c r="N122" s="494"/>
    </row>
    <row r="123" spans="1:15">
      <c r="A123" s="13" t="str">
        <f>IF(Obal!A123=0,"",Obal!A123)</f>
        <v/>
      </c>
      <c r="B123" s="272" t="str">
        <f>IF(Obal!B123=0,"",Obal!B123)</f>
        <v>Consumer Marketing Budget</v>
      </c>
      <c r="E123" s="488">
        <f t="shared" ref="E123:N123" si="90">calcOpsConsumerTotalMarketingBudget</f>
        <v>674999.99999999988</v>
      </c>
      <c r="F123" s="488">
        <f t="shared" si="90"/>
        <v>674999.99999999988</v>
      </c>
      <c r="G123" s="488">
        <f t="shared" si="90"/>
        <v>674999.99999999988</v>
      </c>
      <c r="H123" s="488">
        <f t="shared" si="90"/>
        <v>674999.99999999988</v>
      </c>
      <c r="I123" s="488">
        <f t="shared" si="90"/>
        <v>674999.99999999988</v>
      </c>
      <c r="J123" s="488">
        <f t="shared" si="90"/>
        <v>674999.99999999988</v>
      </c>
      <c r="K123" s="488">
        <f t="shared" si="90"/>
        <v>674999.99999999988</v>
      </c>
      <c r="L123" s="488">
        <f t="shared" si="90"/>
        <v>674999.99999999988</v>
      </c>
      <c r="M123" s="488">
        <f t="shared" si="90"/>
        <v>674999.99999999988</v>
      </c>
      <c r="N123" s="488">
        <f t="shared" si="90"/>
        <v>674999.99999999988</v>
      </c>
      <c r="O123" t="s">
        <v>1300</v>
      </c>
    </row>
    <row r="124" spans="1:15">
      <c r="A124" s="13" t="str">
        <f>IF(Obal!A124=0,"",Obal!A124)</f>
        <v/>
      </c>
      <c r="B124" s="272" t="str">
        <f>IF(Obal!B124=0,"",Obal!B124)</f>
        <v>Productivity &amp; Business Marketing Budget Pct</v>
      </c>
      <c r="E124" s="488">
        <f t="shared" ref="E124:N124" si="91">calcOpsConsumerProd1MarketingBudget</f>
        <v>303749.99999999994</v>
      </c>
      <c r="F124" s="488">
        <f t="shared" si="91"/>
        <v>303749.99999999994</v>
      </c>
      <c r="G124" s="488">
        <f t="shared" si="91"/>
        <v>303749.99999999994</v>
      </c>
      <c r="H124" s="488">
        <f t="shared" si="91"/>
        <v>303749.99999999994</v>
      </c>
      <c r="I124" s="488">
        <f t="shared" si="91"/>
        <v>303749.99999999994</v>
      </c>
      <c r="J124" s="488">
        <f t="shared" si="91"/>
        <v>303749.99999999994</v>
      </c>
      <c r="K124" s="488">
        <f t="shared" si="91"/>
        <v>303749.99999999994</v>
      </c>
      <c r="L124" s="488">
        <f t="shared" si="91"/>
        <v>303749.99999999994</v>
      </c>
      <c r="M124" s="488">
        <f t="shared" si="91"/>
        <v>303749.99999999994</v>
      </c>
      <c r="N124" s="488">
        <f t="shared" si="91"/>
        <v>303749.99999999994</v>
      </c>
      <c r="O124" t="s">
        <v>1301</v>
      </c>
    </row>
    <row r="125" spans="1:15">
      <c r="A125" s="13" t="str">
        <f>IF(Obal!A125=0,"",Obal!A125)</f>
        <v/>
      </c>
      <c r="B125" s="272" t="str">
        <f>IF(Obal!B125=0,"",Obal!B125)</f>
        <v>Personal Computing Marketing Budget Pct</v>
      </c>
      <c r="E125" s="488">
        <f t="shared" ref="E125:N125" si="92">calcOpsConsumerProd3MarketingBudget</f>
        <v>371249.99999999994</v>
      </c>
      <c r="F125" s="488">
        <f t="shared" si="92"/>
        <v>371249.99999999994</v>
      </c>
      <c r="G125" s="488">
        <f t="shared" si="92"/>
        <v>371249.99999999994</v>
      </c>
      <c r="H125" s="488">
        <f t="shared" si="92"/>
        <v>371249.99999999994</v>
      </c>
      <c r="I125" s="488">
        <f t="shared" si="92"/>
        <v>371249.99999999994</v>
      </c>
      <c r="J125" s="488">
        <f t="shared" si="92"/>
        <v>371249.99999999994</v>
      </c>
      <c r="K125" s="488">
        <f t="shared" si="92"/>
        <v>371249.99999999994</v>
      </c>
      <c r="L125" s="488">
        <f t="shared" si="92"/>
        <v>371249.99999999994</v>
      </c>
      <c r="M125" s="488">
        <f t="shared" si="92"/>
        <v>371249.99999999994</v>
      </c>
      <c r="N125" s="488">
        <f t="shared" si="92"/>
        <v>371249.99999999994</v>
      </c>
      <c r="O125" t="s">
        <v>1302</v>
      </c>
    </row>
    <row r="126" spans="1:15">
      <c r="A126" s="13" t="str">
        <f>IF(Obal!A126=0,"",Obal!A126)</f>
        <v/>
      </c>
      <c r="B126" s="272" t="str">
        <f>IF(Obal!B126=0,"",Obal!B126)</f>
        <v/>
      </c>
      <c r="E126" s="494"/>
      <c r="F126" s="494"/>
      <c r="G126" s="494"/>
      <c r="H126" s="494"/>
      <c r="I126" s="494"/>
      <c r="J126" s="494"/>
      <c r="K126" s="494"/>
      <c r="L126" s="494"/>
      <c r="M126" s="494"/>
      <c r="N126" s="494"/>
    </row>
    <row r="127" spans="1:15">
      <c r="A127" s="13" t="str">
        <f>IF(Obal!A127=0,"",Obal!A127)</f>
        <v/>
      </c>
      <c r="B127" s="272" t="str">
        <f>IF(Obal!B127=0,"",Obal!B127)</f>
        <v>Partner Development</v>
      </c>
      <c r="E127" s="494">
        <f t="shared" ref="E127:N127" si="93">calcConsumerPartnerDevelopment</f>
        <v>5</v>
      </c>
      <c r="F127" s="494">
        <f t="shared" si="93"/>
        <v>5</v>
      </c>
      <c r="G127" s="494">
        <f t="shared" si="93"/>
        <v>5</v>
      </c>
      <c r="H127" s="494">
        <f t="shared" si="93"/>
        <v>5</v>
      </c>
      <c r="I127" s="494">
        <f t="shared" si="93"/>
        <v>5</v>
      </c>
      <c r="J127" s="494">
        <f t="shared" si="93"/>
        <v>5</v>
      </c>
      <c r="K127" s="494">
        <f t="shared" si="93"/>
        <v>5</v>
      </c>
      <c r="L127" s="494">
        <f t="shared" si="93"/>
        <v>5</v>
      </c>
      <c r="M127" s="494">
        <f t="shared" si="93"/>
        <v>5</v>
      </c>
      <c r="N127" s="494">
        <f t="shared" si="93"/>
        <v>5</v>
      </c>
      <c r="O127" t="s">
        <v>1303</v>
      </c>
    </row>
    <row r="128" spans="1:15">
      <c r="A128" s="13" t="str">
        <f>IF(Obal!A128=0,"",Obal!A128)</f>
        <v/>
      </c>
      <c r="B128" s="272" t="str">
        <f>IF(Obal!B128=0,"",Obal!B128)</f>
        <v>Partner Incentives</v>
      </c>
      <c r="E128" s="494">
        <f t="shared" ref="E128:N128" si="94">calcConsumerPartnerIncentives</f>
        <v>4</v>
      </c>
      <c r="F128" s="494">
        <f t="shared" si="94"/>
        <v>4</v>
      </c>
      <c r="G128" s="494">
        <f t="shared" si="94"/>
        <v>4</v>
      </c>
      <c r="H128" s="494">
        <f t="shared" si="94"/>
        <v>4</v>
      </c>
      <c r="I128" s="494">
        <f t="shared" si="94"/>
        <v>4</v>
      </c>
      <c r="J128" s="494">
        <f t="shared" si="94"/>
        <v>4</v>
      </c>
      <c r="K128" s="494">
        <f t="shared" si="94"/>
        <v>4</v>
      </c>
      <c r="L128" s="494">
        <f t="shared" si="94"/>
        <v>4</v>
      </c>
      <c r="M128" s="494">
        <f t="shared" si="94"/>
        <v>4</v>
      </c>
      <c r="N128" s="494">
        <f t="shared" si="94"/>
        <v>4</v>
      </c>
      <c r="O128" t="s">
        <v>1304</v>
      </c>
    </row>
    <row r="129" spans="1:15">
      <c r="A129" s="13" t="str">
        <f>IF(Obal!A129=0,"",Obal!A129)</f>
        <v/>
      </c>
      <c r="B129" s="272" t="str">
        <f>IF(Obal!B129=0,"",Obal!B129)</f>
        <v>Partner Education</v>
      </c>
      <c r="E129" s="494">
        <f t="shared" ref="E129:N129" si="95">calcConsumerPartnerEducation</f>
        <v>3</v>
      </c>
      <c r="F129" s="494">
        <f t="shared" si="95"/>
        <v>3</v>
      </c>
      <c r="G129" s="494">
        <f t="shared" si="95"/>
        <v>3</v>
      </c>
      <c r="H129" s="494">
        <f t="shared" si="95"/>
        <v>3</v>
      </c>
      <c r="I129" s="494">
        <f t="shared" si="95"/>
        <v>3</v>
      </c>
      <c r="J129" s="494">
        <f t="shared" si="95"/>
        <v>3</v>
      </c>
      <c r="K129" s="494">
        <f t="shared" si="95"/>
        <v>3</v>
      </c>
      <c r="L129" s="494">
        <f t="shared" si="95"/>
        <v>3</v>
      </c>
      <c r="M129" s="494">
        <f t="shared" si="95"/>
        <v>3</v>
      </c>
      <c r="N129" s="494">
        <f t="shared" si="95"/>
        <v>3</v>
      </c>
      <c r="O129" t="s">
        <v>1305</v>
      </c>
    </row>
    <row r="130" spans="1:15">
      <c r="A130" s="13" t="str">
        <f>IF(Obal!A130=0,"",Obal!A130)</f>
        <v/>
      </c>
      <c r="B130" s="272" t="str">
        <f>IF(Obal!B130=0,"",Obal!B130)</f>
        <v/>
      </c>
      <c r="E130" s="494"/>
      <c r="F130" s="494"/>
      <c r="G130" s="494"/>
      <c r="H130" s="494"/>
      <c r="I130" s="494"/>
      <c r="J130" s="494"/>
      <c r="K130" s="494"/>
      <c r="L130" s="494"/>
      <c r="M130" s="494"/>
      <c r="N130" s="494"/>
    </row>
    <row r="131" spans="1:15">
      <c r="A131" s="13" t="str">
        <f>IF(Obal!A131=0,"",Obal!A131)</f>
        <v/>
      </c>
      <c r="B131" s="272" t="str">
        <f>IF(Obal!B131=0,"",Obal!B131)</f>
        <v>Channels Percent</v>
      </c>
      <c r="E131" s="535">
        <f t="shared" ref="E131:N131" si="96">ROUND(decConsumerPartner4Pct,2)</f>
        <v>0.33</v>
      </c>
      <c r="F131" s="535">
        <f t="shared" si="96"/>
        <v>0.33</v>
      </c>
      <c r="G131" s="535">
        <f t="shared" si="96"/>
        <v>0.33</v>
      </c>
      <c r="H131" s="535">
        <f t="shared" si="96"/>
        <v>0.33</v>
      </c>
      <c r="I131" s="535">
        <f t="shared" si="96"/>
        <v>0.33</v>
      </c>
      <c r="J131" s="535">
        <f t="shared" si="96"/>
        <v>0.33</v>
      </c>
      <c r="K131" s="535">
        <f t="shared" si="96"/>
        <v>0.33</v>
      </c>
      <c r="L131" s="535">
        <f t="shared" si="96"/>
        <v>0.33</v>
      </c>
      <c r="M131" s="535">
        <f t="shared" si="96"/>
        <v>0.33</v>
      </c>
      <c r="N131" s="535">
        <f t="shared" si="96"/>
        <v>0.33</v>
      </c>
      <c r="O131" t="s">
        <v>1306</v>
      </c>
    </row>
    <row r="132" spans="1:15">
      <c r="A132" s="13" t="str">
        <f>IF(Obal!A132=0,"",Obal!A132)</f>
        <v/>
      </c>
      <c r="B132" s="272" t="str">
        <f>IF(Obal!B132=0,"",Obal!B132)</f>
        <v>Retailer Percent</v>
      </c>
      <c r="E132" s="535">
        <f t="shared" ref="E132:N132" si="97">ROUND(decConsumerPartner5Pct,2)</f>
        <v>0.33</v>
      </c>
      <c r="F132" s="535">
        <f t="shared" si="97"/>
        <v>0.33</v>
      </c>
      <c r="G132" s="535">
        <f t="shared" si="97"/>
        <v>0.33</v>
      </c>
      <c r="H132" s="535">
        <f t="shared" si="97"/>
        <v>0.33</v>
      </c>
      <c r="I132" s="535">
        <f t="shared" si="97"/>
        <v>0.33</v>
      </c>
      <c r="J132" s="535">
        <f t="shared" si="97"/>
        <v>0.33</v>
      </c>
      <c r="K132" s="535">
        <f t="shared" si="97"/>
        <v>0.33</v>
      </c>
      <c r="L132" s="535">
        <f t="shared" si="97"/>
        <v>0.33</v>
      </c>
      <c r="M132" s="535">
        <f t="shared" si="97"/>
        <v>0.33</v>
      </c>
      <c r="N132" s="535">
        <f t="shared" si="97"/>
        <v>0.33</v>
      </c>
      <c r="O132" t="s">
        <v>1307</v>
      </c>
    </row>
    <row r="133" spans="1:15">
      <c r="A133" s="13" t="str">
        <f>IF(Obal!A133=0,"",Obal!A133)</f>
        <v/>
      </c>
      <c r="B133" s="272" t="str">
        <f>IF(Obal!B133=0,"",Obal!B133)</f>
        <v>Developer Percent</v>
      </c>
      <c r="E133" s="535">
        <f t="shared" ref="E133:N133" si="98">ROUND(decConsumerPartner6Pct,2)</f>
        <v>0.34</v>
      </c>
      <c r="F133" s="535">
        <f t="shared" si="98"/>
        <v>0.34</v>
      </c>
      <c r="G133" s="535">
        <f t="shared" si="98"/>
        <v>0.34</v>
      </c>
      <c r="H133" s="535">
        <f t="shared" si="98"/>
        <v>0.34</v>
      </c>
      <c r="I133" s="535">
        <f t="shared" si="98"/>
        <v>0.34</v>
      </c>
      <c r="J133" s="535">
        <f t="shared" si="98"/>
        <v>0.34</v>
      </c>
      <c r="K133" s="535">
        <f t="shared" si="98"/>
        <v>0.34</v>
      </c>
      <c r="L133" s="535">
        <f t="shared" si="98"/>
        <v>0.34</v>
      </c>
      <c r="M133" s="535">
        <f t="shared" si="98"/>
        <v>0.34</v>
      </c>
      <c r="N133" s="535">
        <f t="shared" si="98"/>
        <v>0.34</v>
      </c>
      <c r="O133" t="s">
        <v>1308</v>
      </c>
    </row>
    <row r="134" spans="1:15">
      <c r="A134" s="13" t="str">
        <f>IF(Obal!A134=0,"",Obal!A134)</f>
        <v/>
      </c>
      <c r="B134" s="272" t="str">
        <f>IF(Obal!B134=0,"",Obal!B134)</f>
        <v/>
      </c>
      <c r="E134" s="19"/>
      <c r="F134" s="19"/>
      <c r="G134" s="19"/>
      <c r="H134" s="19"/>
      <c r="I134" s="19"/>
      <c r="J134" s="19"/>
      <c r="K134" s="19"/>
      <c r="L134" s="19"/>
      <c r="M134" s="19"/>
      <c r="N134" s="19"/>
    </row>
    <row r="135" spans="1:15">
      <c r="A135" s="13" t="str">
        <f>IF(Obal!A135=0,"",Obal!A135)</f>
        <v/>
      </c>
      <c r="B135" s="272" t="str">
        <f>IF(Obal!B135=0,"",Obal!B135)</f>
        <v>Total Partner Budget</v>
      </c>
      <c r="E135" s="496">
        <f t="shared" ref="E135:N135" si="99">calcConsumerTotalPartnerBudget</f>
        <v>2500000</v>
      </c>
      <c r="F135" s="496">
        <f t="shared" si="99"/>
        <v>2500000</v>
      </c>
      <c r="G135" s="496">
        <f t="shared" si="99"/>
        <v>2500000</v>
      </c>
      <c r="H135" s="496">
        <f t="shared" si="99"/>
        <v>2500000</v>
      </c>
      <c r="I135" s="496">
        <f t="shared" si="99"/>
        <v>2500000</v>
      </c>
      <c r="J135" s="496">
        <f t="shared" si="99"/>
        <v>2500000</v>
      </c>
      <c r="K135" s="496">
        <f t="shared" si="99"/>
        <v>2500000</v>
      </c>
      <c r="L135" s="496">
        <f t="shared" si="99"/>
        <v>2500000</v>
      </c>
      <c r="M135" s="496">
        <f t="shared" si="99"/>
        <v>2500000</v>
      </c>
      <c r="N135" s="496">
        <f t="shared" si="99"/>
        <v>2500000</v>
      </c>
      <c r="O135" t="s">
        <v>1309</v>
      </c>
    </row>
    <row r="136" spans="1:15">
      <c r="A136" s="13" t="str">
        <f>IF(Obal!A136=0,"",Obal!A136)</f>
        <v/>
      </c>
      <c r="B136" s="272" t="str">
        <f>IF(Obal!B136=0,"",Obal!B136)</f>
        <v>Channels Budget</v>
      </c>
      <c r="E136" s="496">
        <f t="shared" ref="E136:N136" si="100">calcConsumerPartner4Budget</f>
        <v>825000</v>
      </c>
      <c r="F136" s="496">
        <f t="shared" si="100"/>
        <v>825000</v>
      </c>
      <c r="G136" s="496">
        <f t="shared" si="100"/>
        <v>825000</v>
      </c>
      <c r="H136" s="496">
        <f t="shared" si="100"/>
        <v>825000</v>
      </c>
      <c r="I136" s="496">
        <f t="shared" si="100"/>
        <v>825000</v>
      </c>
      <c r="J136" s="496">
        <f t="shared" si="100"/>
        <v>825000</v>
      </c>
      <c r="K136" s="496">
        <f t="shared" si="100"/>
        <v>825000</v>
      </c>
      <c r="L136" s="496">
        <f t="shared" si="100"/>
        <v>825000</v>
      </c>
      <c r="M136" s="496">
        <f t="shared" si="100"/>
        <v>825000</v>
      </c>
      <c r="N136" s="496">
        <f t="shared" si="100"/>
        <v>825000</v>
      </c>
      <c r="O136" t="s">
        <v>1310</v>
      </c>
    </row>
    <row r="137" spans="1:15">
      <c r="A137" s="13" t="str">
        <f>IF(Obal!A137=0,"",Obal!A137)</f>
        <v/>
      </c>
      <c r="B137" s="272" t="str">
        <f>IF(Obal!B137=0,"",Obal!B137)</f>
        <v>Retailer Budget</v>
      </c>
      <c r="E137" s="496">
        <f t="shared" ref="E137:N137" si="101">calcConsumerPartner5Budget</f>
        <v>825000</v>
      </c>
      <c r="F137" s="496">
        <f t="shared" si="101"/>
        <v>825000</v>
      </c>
      <c r="G137" s="496">
        <f t="shared" si="101"/>
        <v>825000</v>
      </c>
      <c r="H137" s="496">
        <f t="shared" si="101"/>
        <v>825000</v>
      </c>
      <c r="I137" s="496">
        <f t="shared" si="101"/>
        <v>825000</v>
      </c>
      <c r="J137" s="496">
        <f t="shared" si="101"/>
        <v>825000</v>
      </c>
      <c r="K137" s="496">
        <f t="shared" si="101"/>
        <v>825000</v>
      </c>
      <c r="L137" s="496">
        <f t="shared" si="101"/>
        <v>825000</v>
      </c>
      <c r="M137" s="496">
        <f t="shared" si="101"/>
        <v>825000</v>
      </c>
      <c r="N137" s="496">
        <f t="shared" si="101"/>
        <v>825000</v>
      </c>
      <c r="O137" t="s">
        <v>1311</v>
      </c>
    </row>
    <row r="138" spans="1:15">
      <c r="A138" s="13" t="str">
        <f>IF(Obal!A138=0,"",Obal!A138)</f>
        <v/>
      </c>
      <c r="B138" s="272" t="str">
        <f>IF(Obal!B138=0,"",Obal!B138)</f>
        <v>Developer Budget</v>
      </c>
      <c r="E138" s="496">
        <f t="shared" ref="E138:N138" si="102">calcConsumerPartner6Budget</f>
        <v>849999.99999999977</v>
      </c>
      <c r="F138" s="496">
        <f t="shared" si="102"/>
        <v>849999.99999999977</v>
      </c>
      <c r="G138" s="496">
        <f t="shared" si="102"/>
        <v>849999.99999999977</v>
      </c>
      <c r="H138" s="496">
        <f t="shared" si="102"/>
        <v>849999.99999999977</v>
      </c>
      <c r="I138" s="496">
        <f t="shared" si="102"/>
        <v>849999.99999999977</v>
      </c>
      <c r="J138" s="496">
        <f t="shared" si="102"/>
        <v>849999.99999999977</v>
      </c>
      <c r="K138" s="496">
        <f t="shared" si="102"/>
        <v>849999.99999999977</v>
      </c>
      <c r="L138" s="496">
        <f t="shared" si="102"/>
        <v>849999.99999999977</v>
      </c>
      <c r="M138" s="496">
        <f t="shared" si="102"/>
        <v>849999.99999999977</v>
      </c>
      <c r="N138" s="496">
        <f t="shared" si="102"/>
        <v>849999.99999999977</v>
      </c>
      <c r="O138" t="s">
        <v>1312</v>
      </c>
    </row>
    <row r="139" spans="1:15">
      <c r="A139" s="13" t="str">
        <f>IF(Obal!A139=0,"",Obal!A139)</f>
        <v/>
      </c>
      <c r="B139" s="272" t="str">
        <f>IF(Obal!B139=0,"",Obal!B139)</f>
        <v/>
      </c>
      <c r="E139" s="19"/>
      <c r="F139" s="19"/>
      <c r="G139" s="19"/>
      <c r="H139" s="19"/>
      <c r="I139" s="19"/>
      <c r="J139" s="19"/>
      <c r="K139" s="19"/>
      <c r="L139" s="19"/>
      <c r="M139" s="19"/>
      <c r="N139" s="19"/>
    </row>
    <row r="140" spans="1:15">
      <c r="A140" s="13" t="str">
        <f>IF(Obal!A140=0,"",Obal!A140)</f>
        <v/>
      </c>
      <c r="B140" s="272" t="str">
        <f>IF(Obal!B140=0,"",Obal!B140)</f>
        <v>Total Partner FTEs</v>
      </c>
      <c r="E140" s="477">
        <f t="shared" ref="E140:N140" si="103">calcConsumerTotalPartnerFTEs</f>
        <v>0</v>
      </c>
      <c r="F140" s="477">
        <f t="shared" si="103"/>
        <v>0</v>
      </c>
      <c r="G140" s="477">
        <f t="shared" si="103"/>
        <v>0</v>
      </c>
      <c r="H140" s="477">
        <f t="shared" si="103"/>
        <v>0</v>
      </c>
      <c r="I140" s="477">
        <f t="shared" si="103"/>
        <v>0</v>
      </c>
      <c r="J140" s="477">
        <f t="shared" si="103"/>
        <v>0</v>
      </c>
      <c r="K140" s="477">
        <f t="shared" si="103"/>
        <v>0</v>
      </c>
      <c r="L140" s="477">
        <f t="shared" si="103"/>
        <v>0</v>
      </c>
      <c r="M140" s="477">
        <f t="shared" si="103"/>
        <v>0</v>
      </c>
      <c r="N140" s="477">
        <f t="shared" si="103"/>
        <v>0</v>
      </c>
      <c r="O140" t="s">
        <v>1351</v>
      </c>
    </row>
    <row r="141" spans="1:15">
      <c r="A141" s="13" t="str">
        <f>IF(Obal!A141=0,"",Obal!A141)</f>
        <v/>
      </c>
      <c r="B141" s="272" t="str">
        <f>IF(Obal!B141=0,"",Obal!B141)</f>
        <v>Channels FTEs</v>
      </c>
      <c r="E141" s="477">
        <f t="shared" ref="E141:N141" si="104">calcConsumerPartner4FTEs</f>
        <v>0</v>
      </c>
      <c r="F141" s="477">
        <f t="shared" si="104"/>
        <v>0</v>
      </c>
      <c r="G141" s="477">
        <f t="shared" si="104"/>
        <v>0</v>
      </c>
      <c r="H141" s="477">
        <f t="shared" si="104"/>
        <v>0</v>
      </c>
      <c r="I141" s="477">
        <f t="shared" si="104"/>
        <v>0</v>
      </c>
      <c r="J141" s="477">
        <f t="shared" si="104"/>
        <v>0</v>
      </c>
      <c r="K141" s="477">
        <f t="shared" si="104"/>
        <v>0</v>
      </c>
      <c r="L141" s="477">
        <f t="shared" si="104"/>
        <v>0</v>
      </c>
      <c r="M141" s="477">
        <f t="shared" si="104"/>
        <v>0</v>
      </c>
      <c r="N141" s="477">
        <f t="shared" si="104"/>
        <v>0</v>
      </c>
      <c r="O141" t="s">
        <v>1352</v>
      </c>
    </row>
    <row r="142" spans="1:15">
      <c r="A142" s="13" t="str">
        <f>IF(Obal!A142=0,"",Obal!A142)</f>
        <v/>
      </c>
      <c r="B142" s="272" t="str">
        <f>IF(Obal!B142=0,"",Obal!B142)</f>
        <v>Retailer FTEs</v>
      </c>
      <c r="E142" s="477">
        <f t="shared" ref="E142:N142" si="105">calcConsumerPartner5FTEs</f>
        <v>0</v>
      </c>
      <c r="F142" s="477">
        <f t="shared" si="105"/>
        <v>0</v>
      </c>
      <c r="G142" s="477">
        <f t="shared" si="105"/>
        <v>0</v>
      </c>
      <c r="H142" s="477">
        <f t="shared" si="105"/>
        <v>0</v>
      </c>
      <c r="I142" s="477">
        <f t="shared" si="105"/>
        <v>0</v>
      </c>
      <c r="J142" s="477">
        <f t="shared" si="105"/>
        <v>0</v>
      </c>
      <c r="K142" s="477">
        <f t="shared" si="105"/>
        <v>0</v>
      </c>
      <c r="L142" s="477">
        <f t="shared" si="105"/>
        <v>0</v>
      </c>
      <c r="M142" s="477">
        <f t="shared" si="105"/>
        <v>0</v>
      </c>
      <c r="N142" s="477">
        <f t="shared" si="105"/>
        <v>0</v>
      </c>
      <c r="O142" t="s">
        <v>1353</v>
      </c>
    </row>
    <row r="143" spans="1:15">
      <c r="A143" s="13" t="str">
        <f>IF(Obal!A143=0,"",Obal!A143)</f>
        <v/>
      </c>
      <c r="B143" s="272" t="str">
        <f>IF(Obal!B143=0,"",Obal!B143)</f>
        <v>Developer FTEs</v>
      </c>
      <c r="E143" s="477">
        <f t="shared" ref="E143:N143" si="106">calcConsumerPartner6FTEs</f>
        <v>0</v>
      </c>
      <c r="F143" s="477">
        <f t="shared" si="106"/>
        <v>0</v>
      </c>
      <c r="G143" s="477">
        <f t="shared" si="106"/>
        <v>0</v>
      </c>
      <c r="H143" s="477">
        <f t="shared" si="106"/>
        <v>0</v>
      </c>
      <c r="I143" s="477">
        <f t="shared" si="106"/>
        <v>0</v>
      </c>
      <c r="J143" s="477">
        <f t="shared" si="106"/>
        <v>0</v>
      </c>
      <c r="K143" s="477">
        <f t="shared" si="106"/>
        <v>0</v>
      </c>
      <c r="L143" s="477">
        <f t="shared" si="106"/>
        <v>0</v>
      </c>
      <c r="M143" s="477">
        <f t="shared" si="106"/>
        <v>0</v>
      </c>
      <c r="N143" s="477">
        <f t="shared" si="106"/>
        <v>0</v>
      </c>
      <c r="O143" t="s">
        <v>1354</v>
      </c>
    </row>
    <row r="144" spans="1:15">
      <c r="A144" s="13" t="str">
        <f>IF(Obal!A144=0,"",Obal!A144)</f>
        <v/>
      </c>
      <c r="B144" s="272" t="str">
        <f>IF(Obal!B144=0,"",Obal!B144)</f>
        <v/>
      </c>
      <c r="E144" s="496"/>
      <c r="F144" s="496"/>
      <c r="G144" s="496"/>
      <c r="H144" s="496"/>
      <c r="I144" s="496"/>
      <c r="J144" s="496"/>
      <c r="K144" s="496"/>
      <c r="L144" s="496"/>
      <c r="M144" s="496"/>
      <c r="N144" s="496"/>
    </row>
    <row r="145" spans="1:15">
      <c r="A145" s="13" t="str">
        <f>IF(Obal!A145=0,"",Obal!A145)</f>
        <v>Subscriptions</v>
      </c>
      <c r="B145" s="272" t="str">
        <f>IF(Obal!B145=0,"",Obal!B145)</f>
        <v/>
      </c>
      <c r="E145" s="496"/>
      <c r="F145" s="496"/>
      <c r="G145" s="496"/>
      <c r="H145" s="496"/>
      <c r="I145" s="496"/>
      <c r="J145" s="496"/>
      <c r="K145" s="496"/>
      <c r="L145" s="496"/>
      <c r="M145" s="496"/>
      <c r="N145" s="496"/>
    </row>
    <row r="146" spans="1:15">
      <c r="A146" s="13"/>
      <c r="B146" s="272" t="str">
        <f>IF(Obal!B146=0,"",Obal!B146)</f>
        <v>Productivity &amp; Business Enterprise New Subscriptions</v>
      </c>
      <c r="E146" s="30">
        <f t="shared" ref="E146:N146" si="107">CalcProd1Seg1NewVolume+CalcProd1Seg1CloudMigrationSubs</f>
        <v>2192230.2600000026</v>
      </c>
      <c r="F146" s="30">
        <f t="shared" si="107"/>
        <v>2192230.2600000026</v>
      </c>
      <c r="G146" s="30">
        <f t="shared" si="107"/>
        <v>2192230.2600000026</v>
      </c>
      <c r="H146" s="30">
        <f t="shared" si="107"/>
        <v>2192230.2600000026</v>
      </c>
      <c r="I146" s="30">
        <f t="shared" si="107"/>
        <v>2192230.2600000026</v>
      </c>
      <c r="J146" s="30">
        <f t="shared" si="107"/>
        <v>2192230.2600000026</v>
      </c>
      <c r="K146" s="30">
        <f t="shared" si="107"/>
        <v>2192230.2600000026</v>
      </c>
      <c r="L146" s="30">
        <f t="shared" si="107"/>
        <v>2192230.2600000026</v>
      </c>
      <c r="M146" s="30">
        <f t="shared" si="107"/>
        <v>2192230.2600000026</v>
      </c>
      <c r="N146" s="30">
        <f t="shared" si="107"/>
        <v>2192230.2600000026</v>
      </c>
      <c r="O146" t="s">
        <v>1418</v>
      </c>
    </row>
    <row r="147" spans="1:15">
      <c r="A147" s="13"/>
      <c r="B147" s="272" t="str">
        <f>IF(Obal!B147=0,"",Obal!B147)</f>
        <v>Productivity &amp; Business Enterprise Renewed Subscriptions</v>
      </c>
      <c r="E147" s="30">
        <f t="shared" ref="E147:N147" si="108">CalcProd1Seg1RenewalVolume</f>
        <v>3640926.511522525</v>
      </c>
      <c r="F147" s="30">
        <f t="shared" si="108"/>
        <v>3640926.511522525</v>
      </c>
      <c r="G147" s="30">
        <f t="shared" si="108"/>
        <v>3640926.511522525</v>
      </c>
      <c r="H147" s="30">
        <f t="shared" si="108"/>
        <v>3640926.511522525</v>
      </c>
      <c r="I147" s="30">
        <f t="shared" si="108"/>
        <v>3640926.511522525</v>
      </c>
      <c r="J147" s="30">
        <f t="shared" si="108"/>
        <v>3640926.511522525</v>
      </c>
      <c r="K147" s="30">
        <f t="shared" si="108"/>
        <v>3640926.511522525</v>
      </c>
      <c r="L147" s="30">
        <f t="shared" si="108"/>
        <v>3640926.511522525</v>
      </c>
      <c r="M147" s="30">
        <f t="shared" si="108"/>
        <v>3640926.511522525</v>
      </c>
      <c r="N147" s="30">
        <f t="shared" si="108"/>
        <v>3640926.511522525</v>
      </c>
      <c r="O147" t="s">
        <v>1419</v>
      </c>
    </row>
    <row r="148" spans="1:15">
      <c r="A148" s="13"/>
      <c r="B148" s="272" t="str">
        <f>IF(Obal!B148=0,"",Obal!B148)</f>
        <v>Productivity &amp; Business Enterprise Total Subscriptions</v>
      </c>
      <c r="E148" s="30">
        <f>SUM(E146:E147)</f>
        <v>5833156.7715225276</v>
      </c>
      <c r="F148" s="30">
        <f t="shared" ref="F148:N148" si="109">SUM(F146:F147)</f>
        <v>5833156.7715225276</v>
      </c>
      <c r="G148" s="30">
        <f t="shared" si="109"/>
        <v>5833156.7715225276</v>
      </c>
      <c r="H148" s="30">
        <f t="shared" si="109"/>
        <v>5833156.7715225276</v>
      </c>
      <c r="I148" s="30">
        <f t="shared" si="109"/>
        <v>5833156.7715225276</v>
      </c>
      <c r="J148" s="30">
        <f t="shared" si="109"/>
        <v>5833156.7715225276</v>
      </c>
      <c r="K148" s="30">
        <f t="shared" si="109"/>
        <v>5833156.7715225276</v>
      </c>
      <c r="L148" s="30">
        <f t="shared" si="109"/>
        <v>5833156.7715225276</v>
      </c>
      <c r="M148" s="30">
        <f t="shared" si="109"/>
        <v>5833156.7715225276</v>
      </c>
      <c r="N148" s="30">
        <f t="shared" si="109"/>
        <v>5833156.7715225276</v>
      </c>
      <c r="O148" t="s">
        <v>1420</v>
      </c>
    </row>
    <row r="149" spans="1:15">
      <c r="A149" s="13"/>
      <c r="B149" s="272" t="str">
        <f>IF(Obal!B149=0,"",Obal!B149)</f>
        <v/>
      </c>
    </row>
    <row r="150" spans="1:15">
      <c r="A150" s="13"/>
      <c r="B150" s="272" t="str">
        <f>IF(Obal!B150=0,"",Obal!B150)</f>
        <v>Productivity &amp; Business SMC New Subscriptions</v>
      </c>
      <c r="E150" s="30">
        <f t="shared" ref="E150:N150" si="110">CalcProd1Seg2NewVolume+CalcProd1Seg2CloudMigrationSubs</f>
        <v>1522914.0300000003</v>
      </c>
      <c r="F150" s="30">
        <f t="shared" si="110"/>
        <v>1522914.0300000003</v>
      </c>
      <c r="G150" s="30">
        <f t="shared" si="110"/>
        <v>1522914.0300000003</v>
      </c>
      <c r="H150" s="30">
        <f t="shared" si="110"/>
        <v>1522914.0300000003</v>
      </c>
      <c r="I150" s="30">
        <f t="shared" si="110"/>
        <v>1522914.0300000003</v>
      </c>
      <c r="J150" s="30">
        <f t="shared" si="110"/>
        <v>1522914.0300000003</v>
      </c>
      <c r="K150" s="30">
        <f t="shared" si="110"/>
        <v>1522914.0300000003</v>
      </c>
      <c r="L150" s="30">
        <f t="shared" si="110"/>
        <v>1522914.0300000003</v>
      </c>
      <c r="M150" s="30">
        <f t="shared" si="110"/>
        <v>1522914.0300000003</v>
      </c>
      <c r="N150" s="30">
        <f t="shared" si="110"/>
        <v>1522914.0300000003</v>
      </c>
      <c r="O150" t="s">
        <v>1434</v>
      </c>
    </row>
    <row r="151" spans="1:15">
      <c r="A151" s="13"/>
      <c r="B151" s="272" t="str">
        <f>IF(Obal!B151=0,"",Obal!B151)</f>
        <v>Productivity &amp; Business SMC Renewed Subscriptions</v>
      </c>
      <c r="E151" s="30">
        <f t="shared" ref="E151:N151" si="111">CalcProd1Seg2RenewalVolume</f>
        <v>2213324.5120548611</v>
      </c>
      <c r="F151" s="30">
        <f t="shared" si="111"/>
        <v>2213324.5120548611</v>
      </c>
      <c r="G151" s="30">
        <f t="shared" si="111"/>
        <v>2213324.5120548611</v>
      </c>
      <c r="H151" s="30">
        <f t="shared" si="111"/>
        <v>2213324.5120548611</v>
      </c>
      <c r="I151" s="30">
        <f t="shared" si="111"/>
        <v>2213324.5120548611</v>
      </c>
      <c r="J151" s="30">
        <f t="shared" si="111"/>
        <v>2213324.5120548611</v>
      </c>
      <c r="K151" s="30">
        <f t="shared" si="111"/>
        <v>2213324.5120548611</v>
      </c>
      <c r="L151" s="30">
        <f t="shared" si="111"/>
        <v>2213324.5120548611</v>
      </c>
      <c r="M151" s="30">
        <f t="shared" si="111"/>
        <v>2213324.5120548611</v>
      </c>
      <c r="N151" s="30">
        <f t="shared" si="111"/>
        <v>2213324.5120548611</v>
      </c>
      <c r="O151" t="s">
        <v>1435</v>
      </c>
    </row>
    <row r="152" spans="1:15">
      <c r="A152" s="13"/>
      <c r="B152" s="272" t="str">
        <f>IF(Obal!B152=0,"",Obal!B152)</f>
        <v>Productivity &amp; Business SMC Total Subscriptions</v>
      </c>
      <c r="E152" s="30">
        <f>SUM(E150:E151)</f>
        <v>3736238.5420548613</v>
      </c>
      <c r="F152" s="30">
        <f t="shared" ref="F152:N152" si="112">SUM(F150:F151)</f>
        <v>3736238.5420548613</v>
      </c>
      <c r="G152" s="30">
        <f t="shared" si="112"/>
        <v>3736238.5420548613</v>
      </c>
      <c r="H152" s="30">
        <f t="shared" si="112"/>
        <v>3736238.5420548613</v>
      </c>
      <c r="I152" s="30">
        <f t="shared" si="112"/>
        <v>3736238.5420548613</v>
      </c>
      <c r="J152" s="30">
        <f t="shared" si="112"/>
        <v>3736238.5420548613</v>
      </c>
      <c r="K152" s="30">
        <f t="shared" si="112"/>
        <v>3736238.5420548613</v>
      </c>
      <c r="L152" s="30">
        <f t="shared" si="112"/>
        <v>3736238.5420548613</v>
      </c>
      <c r="M152" s="30">
        <f t="shared" si="112"/>
        <v>3736238.5420548613</v>
      </c>
      <c r="N152" s="30">
        <f t="shared" si="112"/>
        <v>3736238.5420548613</v>
      </c>
      <c r="O152" t="s">
        <v>1436</v>
      </c>
    </row>
    <row r="153" spans="1:15">
      <c r="A153" s="13"/>
      <c r="B153" s="272" t="str">
        <f>IF(Obal!B153=0,"",Obal!B153)</f>
        <v/>
      </c>
    </row>
    <row r="154" spans="1:15">
      <c r="A154" s="13"/>
      <c r="B154" s="272" t="str">
        <f>IF(Obal!B154=0,"",Obal!B154)</f>
        <v>Productivity &amp; Business Consumer New Subscriptions</v>
      </c>
      <c r="E154" s="30">
        <f t="shared" ref="E154:N154" si="113">CalcProd1Seg3NewVolume+CalcProd1Seg3CloudMigrationSubs</f>
        <v>1286257.8960000013</v>
      </c>
      <c r="F154" s="30">
        <f t="shared" si="113"/>
        <v>1286257.8960000013</v>
      </c>
      <c r="G154" s="30">
        <f t="shared" si="113"/>
        <v>1286257.8960000013</v>
      </c>
      <c r="H154" s="30">
        <f t="shared" si="113"/>
        <v>1286257.8960000013</v>
      </c>
      <c r="I154" s="30">
        <f t="shared" si="113"/>
        <v>1286257.8960000013</v>
      </c>
      <c r="J154" s="30">
        <f t="shared" si="113"/>
        <v>1286257.8960000013</v>
      </c>
      <c r="K154" s="30">
        <f t="shared" si="113"/>
        <v>1286257.8960000013</v>
      </c>
      <c r="L154" s="30">
        <f t="shared" si="113"/>
        <v>1286257.8960000013</v>
      </c>
      <c r="M154" s="30">
        <f t="shared" si="113"/>
        <v>1286257.8960000013</v>
      </c>
      <c r="N154" s="30">
        <f t="shared" si="113"/>
        <v>1286257.8960000013</v>
      </c>
      <c r="O154" t="s">
        <v>1437</v>
      </c>
    </row>
    <row r="155" spans="1:15">
      <c r="A155" s="13"/>
      <c r="B155" s="272" t="str">
        <f>IF(Obal!B155=0,"",Obal!B155)</f>
        <v>Productivity &amp; Business Consumer Renewed Subscriptions</v>
      </c>
      <c r="E155" s="30">
        <f t="shared" ref="E155:N155" si="114">CalcProd1Seg3RenewalVolume</f>
        <v>5889280.0498231072</v>
      </c>
      <c r="F155" s="30">
        <f t="shared" si="114"/>
        <v>5889280.0498231072</v>
      </c>
      <c r="G155" s="30">
        <f t="shared" si="114"/>
        <v>5889280.0498231072</v>
      </c>
      <c r="H155" s="30">
        <f t="shared" si="114"/>
        <v>5889280.0498231072</v>
      </c>
      <c r="I155" s="30">
        <f t="shared" si="114"/>
        <v>5889280.0498231072</v>
      </c>
      <c r="J155" s="30">
        <f t="shared" si="114"/>
        <v>5889280.0498231072</v>
      </c>
      <c r="K155" s="30">
        <f t="shared" si="114"/>
        <v>5889280.0498231072</v>
      </c>
      <c r="L155" s="30">
        <f t="shared" si="114"/>
        <v>5889280.0498231072</v>
      </c>
      <c r="M155" s="30">
        <f t="shared" si="114"/>
        <v>5889280.0498231072</v>
      </c>
      <c r="N155" s="30">
        <f t="shared" si="114"/>
        <v>5889280.0498231072</v>
      </c>
      <c r="O155" t="s">
        <v>1438</v>
      </c>
    </row>
    <row r="156" spans="1:15">
      <c r="A156" s="13"/>
      <c r="B156" s="272" t="str">
        <f>IF(Obal!B156=0,"",Obal!B156)</f>
        <v>Productivity &amp; Business Consumer Total Subscriptions</v>
      </c>
      <c r="E156" s="30">
        <f>SUM(E154:E155)</f>
        <v>7175537.9458231088</v>
      </c>
      <c r="F156" s="30">
        <f t="shared" ref="F156:N156" si="115">SUM(F154:F155)</f>
        <v>7175537.9458231088</v>
      </c>
      <c r="G156" s="30">
        <f t="shared" si="115"/>
        <v>7175537.9458231088</v>
      </c>
      <c r="H156" s="30">
        <f t="shared" si="115"/>
        <v>7175537.9458231088</v>
      </c>
      <c r="I156" s="30">
        <f t="shared" si="115"/>
        <v>7175537.9458231088</v>
      </c>
      <c r="J156" s="30">
        <f t="shared" si="115"/>
        <v>7175537.9458231088</v>
      </c>
      <c r="K156" s="30">
        <f t="shared" si="115"/>
        <v>7175537.9458231088</v>
      </c>
      <c r="L156" s="30">
        <f t="shared" si="115"/>
        <v>7175537.9458231088</v>
      </c>
      <c r="M156" s="30">
        <f t="shared" si="115"/>
        <v>7175537.9458231088</v>
      </c>
      <c r="N156" s="30">
        <f t="shared" si="115"/>
        <v>7175537.9458231088</v>
      </c>
      <c r="O156" t="s">
        <v>1439</v>
      </c>
    </row>
    <row r="157" spans="1:15">
      <c r="A157" s="13"/>
      <c r="B157" s="272" t="str">
        <f>IF(Obal!B157=0,"",Obal!B157)</f>
        <v/>
      </c>
    </row>
    <row r="158" spans="1:15">
      <c r="A158" s="13"/>
      <c r="B158" s="272" t="str">
        <f>IF(Obal!B158=0,"",Obal!B158)</f>
        <v>Intelligent Cloud Enterprise New Subscriptions</v>
      </c>
      <c r="E158" s="30">
        <f t="shared" ref="E158:N158" si="116">CalcProd2Seg1NewVolume</f>
        <v>1630946.6316000007</v>
      </c>
      <c r="F158" s="30">
        <f t="shared" si="116"/>
        <v>1630946.6316000007</v>
      </c>
      <c r="G158" s="30">
        <f t="shared" si="116"/>
        <v>1630946.6316000007</v>
      </c>
      <c r="H158" s="30">
        <f t="shared" si="116"/>
        <v>1630946.6316000007</v>
      </c>
      <c r="I158" s="30">
        <f t="shared" si="116"/>
        <v>1630946.6316000007</v>
      </c>
      <c r="J158" s="30">
        <f t="shared" si="116"/>
        <v>1630946.6316000007</v>
      </c>
      <c r="K158" s="30">
        <f t="shared" si="116"/>
        <v>1630946.6316000007</v>
      </c>
      <c r="L158" s="30">
        <f t="shared" si="116"/>
        <v>1630946.6316000007</v>
      </c>
      <c r="M158" s="30">
        <f t="shared" si="116"/>
        <v>1630946.6316000007</v>
      </c>
      <c r="N158" s="30">
        <f t="shared" si="116"/>
        <v>1630946.6316000007</v>
      </c>
      <c r="O158" t="s">
        <v>1440</v>
      </c>
    </row>
    <row r="159" spans="1:15">
      <c r="A159" s="13"/>
      <c r="B159" s="272" t="str">
        <f>IF(Obal!B159=0,"",Obal!B159)</f>
        <v>Intelligent Cloud Enterprise Renewed Subscriptions</v>
      </c>
      <c r="E159" s="30">
        <f t="shared" ref="E159:N159" si="117">CalcProd2Seg1RenewalVolume</f>
        <v>1607560.7912520473</v>
      </c>
      <c r="F159" s="30">
        <f t="shared" si="117"/>
        <v>1607560.7912520473</v>
      </c>
      <c r="G159" s="30">
        <f t="shared" si="117"/>
        <v>1607560.7912520473</v>
      </c>
      <c r="H159" s="30">
        <f t="shared" si="117"/>
        <v>1607560.7912520473</v>
      </c>
      <c r="I159" s="30">
        <f t="shared" si="117"/>
        <v>1607560.7912520473</v>
      </c>
      <c r="J159" s="30">
        <f t="shared" si="117"/>
        <v>1607560.7912520473</v>
      </c>
      <c r="K159" s="30">
        <f t="shared" si="117"/>
        <v>1607560.7912520473</v>
      </c>
      <c r="L159" s="30">
        <f t="shared" si="117"/>
        <v>1607560.7912520473</v>
      </c>
      <c r="M159" s="30">
        <f t="shared" si="117"/>
        <v>1607560.7912520473</v>
      </c>
      <c r="N159" s="30">
        <f t="shared" si="117"/>
        <v>1607560.7912520473</v>
      </c>
      <c r="O159" t="s">
        <v>1441</v>
      </c>
    </row>
    <row r="160" spans="1:15">
      <c r="A160" s="13"/>
      <c r="B160" s="272" t="str">
        <f>IF(Obal!B160=0,"",Obal!B160)</f>
        <v>Intelligent Cloud Enterprise Total Subscriptions</v>
      </c>
      <c r="E160" s="30">
        <f>SUM(E158:E159)</f>
        <v>3238507.4228520477</v>
      </c>
      <c r="F160" s="30">
        <f t="shared" ref="F160:N160" si="118">SUM(F158:F159)</f>
        <v>3238507.4228520477</v>
      </c>
      <c r="G160" s="30">
        <f t="shared" si="118"/>
        <v>3238507.4228520477</v>
      </c>
      <c r="H160" s="30">
        <f t="shared" si="118"/>
        <v>3238507.4228520477</v>
      </c>
      <c r="I160" s="30">
        <f t="shared" si="118"/>
        <v>3238507.4228520477</v>
      </c>
      <c r="J160" s="30">
        <f t="shared" si="118"/>
        <v>3238507.4228520477</v>
      </c>
      <c r="K160" s="30">
        <f t="shared" si="118"/>
        <v>3238507.4228520477</v>
      </c>
      <c r="L160" s="30">
        <f t="shared" si="118"/>
        <v>3238507.4228520477</v>
      </c>
      <c r="M160" s="30">
        <f t="shared" si="118"/>
        <v>3238507.4228520477</v>
      </c>
      <c r="N160" s="30">
        <f t="shared" si="118"/>
        <v>3238507.4228520477</v>
      </c>
      <c r="O160" t="s">
        <v>1442</v>
      </c>
    </row>
    <row r="161" spans="1:15">
      <c r="A161" s="13"/>
      <c r="B161" s="272" t="str">
        <f>IF(Obal!B161=0,"",Obal!B161)</f>
        <v/>
      </c>
    </row>
    <row r="162" spans="1:15">
      <c r="A162" s="13"/>
      <c r="B162" s="272" t="str">
        <f>IF(Obal!B162=0,"",Obal!B162)</f>
        <v>Intelligent Cloud SMC New Subscriptions</v>
      </c>
      <c r="E162" s="30">
        <f t="shared" ref="E162:N162" si="119">CalcProd2Seg2NewVolume</f>
        <v>2503465.1284500007</v>
      </c>
      <c r="F162" s="30">
        <f t="shared" si="119"/>
        <v>2503465.1284500007</v>
      </c>
      <c r="G162" s="30">
        <f t="shared" si="119"/>
        <v>2503465.1284500007</v>
      </c>
      <c r="H162" s="30">
        <f t="shared" si="119"/>
        <v>2503465.1284500007</v>
      </c>
      <c r="I162" s="30">
        <f t="shared" si="119"/>
        <v>2503465.1284500007</v>
      </c>
      <c r="J162" s="30">
        <f t="shared" si="119"/>
        <v>2503465.1284500007</v>
      </c>
      <c r="K162" s="30">
        <f t="shared" si="119"/>
        <v>2503465.1284500007</v>
      </c>
      <c r="L162" s="30">
        <f t="shared" si="119"/>
        <v>2503465.1284500007</v>
      </c>
      <c r="M162" s="30">
        <f t="shared" si="119"/>
        <v>2503465.1284500007</v>
      </c>
      <c r="N162" s="30">
        <f t="shared" si="119"/>
        <v>2503465.1284500007</v>
      </c>
      <c r="O162" t="s">
        <v>1443</v>
      </c>
    </row>
    <row r="163" spans="1:15">
      <c r="A163" s="13"/>
      <c r="B163" s="272" t="str">
        <f>IF(Obal!B163=0,"",Obal!B163)</f>
        <v>Intelligent Cloud SMC Renewed Subscriptions</v>
      </c>
      <c r="E163" s="30">
        <f t="shared" ref="E163:N163" si="120">CalcProd2Seg2RenewalVolume</f>
        <v>1754071.1205826176</v>
      </c>
      <c r="F163" s="30">
        <f t="shared" si="120"/>
        <v>1754071.1205826176</v>
      </c>
      <c r="G163" s="30">
        <f t="shared" si="120"/>
        <v>1754071.1205826176</v>
      </c>
      <c r="H163" s="30">
        <f t="shared" si="120"/>
        <v>1754071.1205826176</v>
      </c>
      <c r="I163" s="30">
        <f t="shared" si="120"/>
        <v>1754071.1205826176</v>
      </c>
      <c r="J163" s="30">
        <f t="shared" si="120"/>
        <v>1754071.1205826176</v>
      </c>
      <c r="K163" s="30">
        <f t="shared" si="120"/>
        <v>1754071.1205826176</v>
      </c>
      <c r="L163" s="30">
        <f t="shared" si="120"/>
        <v>1754071.1205826176</v>
      </c>
      <c r="M163" s="30">
        <f t="shared" si="120"/>
        <v>1754071.1205826176</v>
      </c>
      <c r="N163" s="30">
        <f t="shared" si="120"/>
        <v>1754071.1205826176</v>
      </c>
      <c r="O163" t="s">
        <v>1444</v>
      </c>
    </row>
    <row r="164" spans="1:15">
      <c r="A164" s="13"/>
      <c r="B164" s="272" t="str">
        <f>IF(Obal!B164=0,"",Obal!B164)</f>
        <v>Intelligent Cloud SMC Total Subscriptions</v>
      </c>
      <c r="E164" s="30">
        <f>SUM(E162:E163)</f>
        <v>4257536.2490326185</v>
      </c>
      <c r="F164" s="30">
        <f t="shared" ref="F164:N164" si="121">SUM(F162:F163)</f>
        <v>4257536.2490326185</v>
      </c>
      <c r="G164" s="30">
        <f t="shared" si="121"/>
        <v>4257536.2490326185</v>
      </c>
      <c r="H164" s="30">
        <f t="shared" si="121"/>
        <v>4257536.2490326185</v>
      </c>
      <c r="I164" s="30">
        <f t="shared" si="121"/>
        <v>4257536.2490326185</v>
      </c>
      <c r="J164" s="30">
        <f t="shared" si="121"/>
        <v>4257536.2490326185</v>
      </c>
      <c r="K164" s="30">
        <f t="shared" si="121"/>
        <v>4257536.2490326185</v>
      </c>
      <c r="L164" s="30">
        <f t="shared" si="121"/>
        <v>4257536.2490326185</v>
      </c>
      <c r="M164" s="30">
        <f t="shared" si="121"/>
        <v>4257536.2490326185</v>
      </c>
      <c r="N164" s="30">
        <f t="shared" si="121"/>
        <v>4257536.2490326185</v>
      </c>
      <c r="O164" t="s">
        <v>1445</v>
      </c>
    </row>
    <row r="165" spans="1:15">
      <c r="A165" s="13" t="str">
        <f>IF(Obal!A165=0,"",Obal!A165)</f>
        <v/>
      </c>
      <c r="B165" s="272" t="str">
        <f>IF(Obal!B165=0,"",Obal!B165)</f>
        <v/>
      </c>
      <c r="E165" s="496"/>
      <c r="F165" s="496"/>
      <c r="G165" s="496"/>
      <c r="H165" s="496"/>
      <c r="I165" s="496"/>
      <c r="J165" s="496"/>
      <c r="K165" s="496"/>
      <c r="L165" s="496"/>
      <c r="M165" s="496"/>
      <c r="N165" s="496"/>
    </row>
    <row r="166" spans="1:15">
      <c r="A166" s="13" t="str">
        <f>IF(Obal!A166=0,"",Obal!A166)</f>
        <v/>
      </c>
      <c r="B166" s="272" t="str">
        <f>IF(Obal!B166=0,"",Obal!B166)</f>
        <v>Total Cloud Subscriptions</v>
      </c>
      <c r="E166" s="496">
        <f t="shared" ref="E166:N166" si="122">cbalProd1Seg1NewSubs+cbalProd1Seg1RenewedSubs+cbalProd1Seg2NewSubs+cbalProd1Seg2RenewedSubs+cbalProd1Seg3NewSubs+cbalProd1Seg3RenewedSubs+cbalProd2Seg1TotalSubs+cbalProd2Seg2TotalSubs</f>
        <v>24240976.931285165</v>
      </c>
      <c r="F166" s="496">
        <f t="shared" si="122"/>
        <v>24240976.931285165</v>
      </c>
      <c r="G166" s="496">
        <f t="shared" si="122"/>
        <v>24240976.931285165</v>
      </c>
      <c r="H166" s="496">
        <f t="shared" si="122"/>
        <v>24240976.931285165</v>
      </c>
      <c r="I166" s="496">
        <f t="shared" si="122"/>
        <v>24240976.931285165</v>
      </c>
      <c r="J166" s="496">
        <f t="shared" si="122"/>
        <v>24240976.931285165</v>
      </c>
      <c r="K166" s="496">
        <f t="shared" si="122"/>
        <v>24240976.931285165</v>
      </c>
      <c r="L166" s="496">
        <f t="shared" si="122"/>
        <v>24240976.931285165</v>
      </c>
      <c r="M166" s="496">
        <f t="shared" si="122"/>
        <v>24240976.931285165</v>
      </c>
      <c r="N166" s="496">
        <f t="shared" si="122"/>
        <v>24240976.931285165</v>
      </c>
      <c r="O166" t="s">
        <v>2104</v>
      </c>
    </row>
    <row r="167" spans="1:15">
      <c r="A167" s="13" t="str">
        <f>IF(Obal!A167=0,"",Obal!A167)</f>
        <v/>
      </c>
      <c r="B167" s="272" t="str">
        <f>IF(Obal!B167=0,"",Obal!B167)</f>
        <v/>
      </c>
      <c r="E167" s="496"/>
      <c r="F167" s="496"/>
      <c r="G167" s="496"/>
      <c r="H167" s="496"/>
      <c r="I167" s="496"/>
      <c r="J167" s="496"/>
      <c r="K167" s="496"/>
      <c r="L167" s="496"/>
      <c r="M167" s="496"/>
      <c r="N167" s="496"/>
    </row>
    <row r="168" spans="1:15">
      <c r="A168" s="13" t="str">
        <f>IF(Obal!A168=0,"",Obal!A168)</f>
        <v>Non-Cloud Subscriptions</v>
      </c>
      <c r="B168" s="272" t="str">
        <f>IF(Obal!B168=0,"",Obal!B168)</f>
        <v/>
      </c>
      <c r="E168" s="496"/>
      <c r="F168" s="496"/>
      <c r="G168" s="496"/>
      <c r="H168" s="496"/>
      <c r="I168" s="496"/>
      <c r="J168" s="496"/>
      <c r="K168" s="496"/>
      <c r="L168" s="496"/>
      <c r="M168" s="496"/>
      <c r="N168" s="496"/>
    </row>
    <row r="169" spans="1:15">
      <c r="A169" s="13" t="str">
        <f>IF(Obal!A169=0,"",Obal!A169)</f>
        <v/>
      </c>
      <c r="B169" s="272" t="str">
        <f>IF(Obal!B169=0,"",Obal!B169)</f>
        <v>Productivity &amp; Business Enterprise Non-Cloud Subscriptions</v>
      </c>
      <c r="E169" s="30">
        <f t="shared" ref="E169:N169" si="123">CalcProd1Seg1NonCloudVolume</f>
        <v>2842400</v>
      </c>
      <c r="F169" s="30">
        <f t="shared" si="123"/>
        <v>2842400</v>
      </c>
      <c r="G169" s="30">
        <f t="shared" si="123"/>
        <v>2842400</v>
      </c>
      <c r="H169" s="30">
        <f t="shared" si="123"/>
        <v>2842400</v>
      </c>
      <c r="I169" s="30">
        <f t="shared" si="123"/>
        <v>2842400</v>
      </c>
      <c r="J169" s="30">
        <f t="shared" si="123"/>
        <v>2842400</v>
      </c>
      <c r="K169" s="30">
        <f t="shared" si="123"/>
        <v>2842400</v>
      </c>
      <c r="L169" s="30">
        <f t="shared" si="123"/>
        <v>2842400</v>
      </c>
      <c r="M169" s="30">
        <f t="shared" si="123"/>
        <v>2842400</v>
      </c>
      <c r="N169" s="30">
        <f t="shared" si="123"/>
        <v>2842400</v>
      </c>
      <c r="O169" t="s">
        <v>2085</v>
      </c>
    </row>
    <row r="170" spans="1:15">
      <c r="A170" s="13" t="str">
        <f>IF(Obal!A170=0,"",Obal!A170)</f>
        <v/>
      </c>
      <c r="B170" s="272" t="str">
        <f>IF(Obal!B170=0,"",Obal!B170)</f>
        <v>Productivity &amp; Business SMC Non-Cloud Subscriptions</v>
      </c>
      <c r="E170" s="30">
        <f t="shared" ref="E170:N170" si="124">CalcProd1Seg2NonCloudVolume</f>
        <v>1776500.0000000002</v>
      </c>
      <c r="F170" s="30">
        <f t="shared" si="124"/>
        <v>1776500.0000000002</v>
      </c>
      <c r="G170" s="30">
        <f t="shared" si="124"/>
        <v>1776500.0000000002</v>
      </c>
      <c r="H170" s="30">
        <f t="shared" si="124"/>
        <v>1776500.0000000002</v>
      </c>
      <c r="I170" s="30">
        <f t="shared" si="124"/>
        <v>1776500.0000000002</v>
      </c>
      <c r="J170" s="30">
        <f t="shared" si="124"/>
        <v>1776500.0000000002</v>
      </c>
      <c r="K170" s="30">
        <f t="shared" si="124"/>
        <v>1776500.0000000002</v>
      </c>
      <c r="L170" s="30">
        <f t="shared" si="124"/>
        <v>1776500.0000000002</v>
      </c>
      <c r="M170" s="30">
        <f t="shared" si="124"/>
        <v>1776500.0000000002</v>
      </c>
      <c r="N170" s="30">
        <f t="shared" si="124"/>
        <v>1776500.0000000002</v>
      </c>
      <c r="O170" t="s">
        <v>2086</v>
      </c>
    </row>
    <row r="171" spans="1:15">
      <c r="A171" s="13" t="str">
        <f>IF(Obal!A171=0,"",Obal!A171)</f>
        <v/>
      </c>
      <c r="B171" s="272" t="str">
        <f>IF(Obal!B171=0,"",Obal!B171)</f>
        <v>Productivity &amp; Business Consumer Non-Cloud Subscriptions</v>
      </c>
      <c r="E171" s="30">
        <f t="shared" ref="E171:N171" si="125">CalcProd1Seg3NonCloudVolume</f>
        <v>0</v>
      </c>
      <c r="F171" s="30">
        <f t="shared" si="125"/>
        <v>0</v>
      </c>
      <c r="G171" s="30">
        <f t="shared" si="125"/>
        <v>0</v>
      </c>
      <c r="H171" s="30">
        <f t="shared" si="125"/>
        <v>0</v>
      </c>
      <c r="I171" s="30">
        <f t="shared" si="125"/>
        <v>0</v>
      </c>
      <c r="J171" s="30">
        <f t="shared" si="125"/>
        <v>0</v>
      </c>
      <c r="K171" s="30">
        <f t="shared" si="125"/>
        <v>0</v>
      </c>
      <c r="L171" s="30">
        <f t="shared" si="125"/>
        <v>0</v>
      </c>
      <c r="M171" s="30">
        <f t="shared" si="125"/>
        <v>0</v>
      </c>
      <c r="N171" s="30">
        <f t="shared" si="125"/>
        <v>0</v>
      </c>
      <c r="O171" t="s">
        <v>2087</v>
      </c>
    </row>
    <row r="172" spans="1:15">
      <c r="A172" s="13" t="str">
        <f>IF(Obal!A172=0,"",Obal!A172)</f>
        <v/>
      </c>
      <c r="B172" s="272" t="str">
        <f>IF(Obal!B172=0,"",Obal!B172)</f>
        <v/>
      </c>
      <c r="E172" s="30"/>
      <c r="F172" s="30"/>
      <c r="G172" s="30"/>
      <c r="H172" s="30"/>
      <c r="I172" s="30"/>
      <c r="J172" s="30"/>
      <c r="K172" s="30"/>
      <c r="L172" s="30"/>
      <c r="M172" s="30"/>
      <c r="N172" s="30"/>
    </row>
    <row r="173" spans="1:15">
      <c r="A173" s="13" t="str">
        <f>IF(Obal!A173=0,"",Obal!A173)</f>
        <v>Cloud Adoption</v>
      </c>
      <c r="B173" s="272" t="str">
        <f>IF(Obal!B173=0,"",Obal!B173)</f>
        <v/>
      </c>
      <c r="E173" s="30"/>
      <c r="F173" s="30"/>
      <c r="G173" s="30"/>
      <c r="H173" s="30"/>
      <c r="I173" s="30"/>
      <c r="J173" s="30"/>
      <c r="K173" s="30"/>
      <c r="L173" s="30"/>
      <c r="M173" s="30"/>
      <c r="N173" s="30"/>
    </row>
    <row r="174" spans="1:15">
      <c r="A174" s="13" t="str">
        <f>IF(Obal!A300=0,"",Obal!A300)</f>
        <v/>
      </c>
      <c r="B174" s="272" t="str">
        <f>IF(Obal!B174=0,"",Obal!B174)</f>
        <v>Productivity &amp; Business Enterprise Cloud Adoption</v>
      </c>
      <c r="E174" s="706">
        <f t="shared" ref="E174:N174" si="126">CalcProd1Seg1CloudAdoption</f>
        <v>0.67236684919979273</v>
      </c>
      <c r="F174" s="706">
        <f t="shared" si="126"/>
        <v>0.67236684919979273</v>
      </c>
      <c r="G174" s="706">
        <f t="shared" si="126"/>
        <v>0.67236684919979273</v>
      </c>
      <c r="H174" s="706">
        <f t="shared" si="126"/>
        <v>0.67236684919979273</v>
      </c>
      <c r="I174" s="706">
        <f t="shared" si="126"/>
        <v>0.67236684919979273</v>
      </c>
      <c r="J174" s="706">
        <f t="shared" si="126"/>
        <v>0.67236684919979273</v>
      </c>
      <c r="K174" s="706">
        <f t="shared" si="126"/>
        <v>0.67236684919979273</v>
      </c>
      <c r="L174" s="706">
        <f t="shared" si="126"/>
        <v>0.67236684919979273</v>
      </c>
      <c r="M174" s="706">
        <f t="shared" si="126"/>
        <v>0.67236684919979273</v>
      </c>
      <c r="N174" s="706">
        <f t="shared" si="126"/>
        <v>0.67236684919979273</v>
      </c>
      <c r="O174" t="s">
        <v>1660</v>
      </c>
    </row>
    <row r="175" spans="1:15">
      <c r="A175" s="13" t="str">
        <f>IF(Obal!A301=0,"",Obal!A301)</f>
        <v/>
      </c>
      <c r="B175" s="272" t="str">
        <f>IF(Obal!B175=0,"",Obal!B175)</f>
        <v>Productivity &amp; Business SMC Cloud Adoption</v>
      </c>
      <c r="E175" s="706">
        <f t="shared" ref="E175:N175" si="127">CalcProd1Seg2CloudAdoption</f>
        <v>0.67774637116422831</v>
      </c>
      <c r="F175" s="706">
        <f t="shared" si="127"/>
        <v>0.67774637116422831</v>
      </c>
      <c r="G175" s="706">
        <f t="shared" si="127"/>
        <v>0.67774637116422831</v>
      </c>
      <c r="H175" s="706">
        <f t="shared" si="127"/>
        <v>0.67774637116422831</v>
      </c>
      <c r="I175" s="706">
        <f t="shared" si="127"/>
        <v>0.67774637116422831</v>
      </c>
      <c r="J175" s="706">
        <f t="shared" si="127"/>
        <v>0.67774637116422831</v>
      </c>
      <c r="K175" s="706">
        <f t="shared" si="127"/>
        <v>0.67774637116422831</v>
      </c>
      <c r="L175" s="706">
        <f t="shared" si="127"/>
        <v>0.67774637116422831</v>
      </c>
      <c r="M175" s="706">
        <f t="shared" si="127"/>
        <v>0.67774637116422831</v>
      </c>
      <c r="N175" s="706">
        <f t="shared" si="127"/>
        <v>0.67774637116422831</v>
      </c>
      <c r="O175" t="s">
        <v>1661</v>
      </c>
    </row>
    <row r="176" spans="1:15">
      <c r="A176" s="13" t="str">
        <f>IF(Obal!A302=0,"",Obal!A302)</f>
        <v/>
      </c>
      <c r="B176" s="272" t="str">
        <f>IF(Obal!B176=0,"",Obal!B176)</f>
        <v>Productivity &amp; Business Consumer Cloud Adoption</v>
      </c>
      <c r="E176" s="706">
        <f t="shared" ref="E176:N176" si="128">CalcProd1Seg3CloudAdoption</f>
        <v>1</v>
      </c>
      <c r="F176" s="706">
        <f t="shared" si="128"/>
        <v>1</v>
      </c>
      <c r="G176" s="706">
        <f t="shared" si="128"/>
        <v>1</v>
      </c>
      <c r="H176" s="706">
        <f t="shared" si="128"/>
        <v>1</v>
      </c>
      <c r="I176" s="706">
        <f t="shared" si="128"/>
        <v>1</v>
      </c>
      <c r="J176" s="706">
        <f t="shared" si="128"/>
        <v>1</v>
      </c>
      <c r="K176" s="706">
        <f t="shared" si="128"/>
        <v>1</v>
      </c>
      <c r="L176" s="706">
        <f t="shared" si="128"/>
        <v>1</v>
      </c>
      <c r="M176" s="706">
        <f t="shared" si="128"/>
        <v>1</v>
      </c>
      <c r="N176" s="706">
        <f t="shared" si="128"/>
        <v>1</v>
      </c>
      <c r="O176" t="s">
        <v>1662</v>
      </c>
    </row>
    <row r="177" spans="1:15">
      <c r="A177" s="13" t="str">
        <f>IF(Obal!A303=0,"",Obal!A303)</f>
        <v/>
      </c>
      <c r="B177" s="272" t="str">
        <f>IF(Obal!B177=0,"",Obal!B177)</f>
        <v/>
      </c>
      <c r="E177" s="30"/>
      <c r="F177" s="30"/>
      <c r="G177" s="30"/>
      <c r="H177" s="30"/>
      <c r="I177" s="30"/>
      <c r="J177" s="30"/>
      <c r="K177" s="30"/>
      <c r="L177" s="30"/>
      <c r="M177" s="30"/>
      <c r="N177" s="30"/>
      <c r="O177" s="497"/>
    </row>
    <row r="178" spans="1:15">
      <c r="A178" s="13" t="str">
        <f>IF(Obal!A304=0,"",Obal!A304)</f>
        <v/>
      </c>
      <c r="B178" s="272" t="str">
        <f>IF(Obal!B178=0,"",Obal!B178)</f>
        <v>Total Cloud Adoption</v>
      </c>
      <c r="E178" s="706">
        <f t="shared" ref="E178:N178" si="129">CalcCloudAdoption</f>
        <v>0.83995427246632004</v>
      </c>
      <c r="F178" s="706">
        <f t="shared" si="129"/>
        <v>0.83995427246632004</v>
      </c>
      <c r="G178" s="706">
        <f t="shared" si="129"/>
        <v>0.83995427246632004</v>
      </c>
      <c r="H178" s="706">
        <f t="shared" si="129"/>
        <v>0.83995427246632004</v>
      </c>
      <c r="I178" s="706">
        <f t="shared" si="129"/>
        <v>0.83995427246632004</v>
      </c>
      <c r="J178" s="706">
        <f t="shared" si="129"/>
        <v>0.83995427246632004</v>
      </c>
      <c r="K178" s="706">
        <f t="shared" si="129"/>
        <v>0.83995427246632004</v>
      </c>
      <c r="L178" s="706">
        <f t="shared" si="129"/>
        <v>0.83995427246632004</v>
      </c>
      <c r="M178" s="706">
        <f t="shared" si="129"/>
        <v>0.83995427246632004</v>
      </c>
      <c r="N178" s="706">
        <f t="shared" si="129"/>
        <v>0.83995427246632004</v>
      </c>
      <c r="O178" s="578" t="s">
        <v>1663</v>
      </c>
    </row>
    <row r="179" spans="1:15">
      <c r="A179" s="13" t="str">
        <f>IF(Obal!A179=0,"",Obal!A179)</f>
        <v/>
      </c>
      <c r="B179" s="272" t="str">
        <f>IF(Obal!B179=0,"",Obal!B179)</f>
        <v/>
      </c>
      <c r="E179" s="496"/>
      <c r="F179" s="496"/>
      <c r="G179" s="496"/>
      <c r="H179" s="496"/>
      <c r="I179" s="496"/>
      <c r="J179" s="496"/>
      <c r="K179" s="496"/>
      <c r="L179" s="496"/>
      <c r="M179" s="496"/>
      <c r="N179" s="496"/>
    </row>
    <row r="180" spans="1:15">
      <c r="A180" s="13" t="str">
        <f>IF(Obal!A180=0,"",Obal!A180)</f>
        <v>Consumption</v>
      </c>
      <c r="B180" s="272" t="str">
        <f>IF(Obal!B180=0,"",Obal!B180)</f>
        <v/>
      </c>
      <c r="E180" s="496"/>
      <c r="F180" s="496"/>
      <c r="G180" s="496"/>
      <c r="H180" s="496"/>
      <c r="I180" s="496"/>
      <c r="J180" s="496"/>
      <c r="K180" s="496"/>
      <c r="L180" s="496"/>
      <c r="M180" s="496"/>
      <c r="N180" s="496"/>
    </row>
    <row r="181" spans="1:15">
      <c r="A181" s="13" t="str">
        <f>IF(Obal!A181=0,"",Obal!A181)</f>
        <v/>
      </c>
      <c r="B181" s="272" t="str">
        <f>IF(Obal!B181=0,"",Obal!B181)</f>
        <v>Productivity &amp; Business Enterprise  Consumption</v>
      </c>
      <c r="E181" s="712">
        <f t="shared" ref="E181:N181" si="130">calcProd1Seg1Consumption</f>
        <v>0.14499999999999999</v>
      </c>
      <c r="F181" s="712">
        <f t="shared" si="130"/>
        <v>0.14499999999999999</v>
      </c>
      <c r="G181" s="712">
        <f t="shared" si="130"/>
        <v>0.14499999999999999</v>
      </c>
      <c r="H181" s="712">
        <f t="shared" si="130"/>
        <v>0.14499999999999999</v>
      </c>
      <c r="I181" s="712">
        <f t="shared" si="130"/>
        <v>0.14499999999999999</v>
      </c>
      <c r="J181" s="712">
        <f t="shared" si="130"/>
        <v>0.14499999999999999</v>
      </c>
      <c r="K181" s="712">
        <f t="shared" si="130"/>
        <v>0.14499999999999999</v>
      </c>
      <c r="L181" s="712">
        <f t="shared" si="130"/>
        <v>0.14499999999999999</v>
      </c>
      <c r="M181" s="712">
        <f t="shared" si="130"/>
        <v>0.14499999999999999</v>
      </c>
      <c r="N181" s="712">
        <f t="shared" si="130"/>
        <v>0.14499999999999999</v>
      </c>
      <c r="O181" t="s">
        <v>1691</v>
      </c>
    </row>
    <row r="182" spans="1:15">
      <c r="A182" s="13" t="str">
        <f>IF(Obal!A182=0,"",Obal!A182)</f>
        <v/>
      </c>
      <c r="B182" s="272" t="str">
        <f>IF(Obal!B182=0,"",Obal!B182)</f>
        <v>Productivity &amp; Business SMC  Consumption</v>
      </c>
      <c r="E182" s="712">
        <f t="shared" ref="E182:N182" si="131">calcProd1Seg2Consumption</f>
        <v>0.14500000000000002</v>
      </c>
      <c r="F182" s="712">
        <f t="shared" si="131"/>
        <v>0.14500000000000002</v>
      </c>
      <c r="G182" s="712">
        <f t="shared" si="131"/>
        <v>0.14500000000000002</v>
      </c>
      <c r="H182" s="712">
        <f t="shared" si="131"/>
        <v>0.14500000000000002</v>
      </c>
      <c r="I182" s="712">
        <f t="shared" si="131"/>
        <v>0.14500000000000002</v>
      </c>
      <c r="J182" s="712">
        <f t="shared" si="131"/>
        <v>0.14500000000000002</v>
      </c>
      <c r="K182" s="712">
        <f t="shared" si="131"/>
        <v>0.14500000000000002</v>
      </c>
      <c r="L182" s="712">
        <f t="shared" si="131"/>
        <v>0.14500000000000002</v>
      </c>
      <c r="M182" s="712">
        <f t="shared" si="131"/>
        <v>0.14500000000000002</v>
      </c>
      <c r="N182" s="712">
        <f t="shared" si="131"/>
        <v>0.14500000000000002</v>
      </c>
      <c r="O182" t="s">
        <v>1692</v>
      </c>
    </row>
    <row r="183" spans="1:15">
      <c r="A183" s="13" t="str">
        <f>IF(Obal!A183=0,"",Obal!A183)</f>
        <v/>
      </c>
      <c r="B183" s="272" t="str">
        <f>IF(Obal!B183=0,"",Obal!B183)</f>
        <v>Productivity &amp; Business Consumer Total Consumption</v>
      </c>
      <c r="E183" s="712">
        <f t="shared" ref="E183:N183" si="132">calcProd1Seg3Consumption</f>
        <v>0.15500000000000003</v>
      </c>
      <c r="F183" s="712">
        <f t="shared" si="132"/>
        <v>0.15500000000000003</v>
      </c>
      <c r="G183" s="712">
        <f t="shared" si="132"/>
        <v>0.15500000000000003</v>
      </c>
      <c r="H183" s="712">
        <f t="shared" si="132"/>
        <v>0.15500000000000003</v>
      </c>
      <c r="I183" s="712">
        <f t="shared" si="132"/>
        <v>0.15500000000000003</v>
      </c>
      <c r="J183" s="712">
        <f t="shared" si="132"/>
        <v>0.15500000000000003</v>
      </c>
      <c r="K183" s="712">
        <f t="shared" si="132"/>
        <v>0.15500000000000003</v>
      </c>
      <c r="L183" s="712">
        <f t="shared" si="132"/>
        <v>0.15500000000000003</v>
      </c>
      <c r="M183" s="712">
        <f t="shared" si="132"/>
        <v>0.15500000000000003</v>
      </c>
      <c r="N183" s="712">
        <f t="shared" si="132"/>
        <v>0.15500000000000003</v>
      </c>
      <c r="O183" t="s">
        <v>1693</v>
      </c>
    </row>
    <row r="184" spans="1:15">
      <c r="A184" s="13" t="str">
        <f>IF(Obal!A184=0,"",Obal!A184)</f>
        <v/>
      </c>
      <c r="B184" s="272" t="str">
        <f>IF(Obal!B184=0,"",Obal!B184)</f>
        <v>Intelligent Cloud Enterprise  Consumption</v>
      </c>
      <c r="E184" s="712">
        <f t="shared" ref="E184:N184" si="133">calcProd2Seg1Consumption</f>
        <v>0.14499999999999999</v>
      </c>
      <c r="F184" s="712">
        <f t="shared" si="133"/>
        <v>0.14499999999999999</v>
      </c>
      <c r="G184" s="712">
        <f t="shared" si="133"/>
        <v>0.14499999999999999</v>
      </c>
      <c r="H184" s="712">
        <f t="shared" si="133"/>
        <v>0.14499999999999999</v>
      </c>
      <c r="I184" s="712">
        <f t="shared" si="133"/>
        <v>0.14499999999999999</v>
      </c>
      <c r="J184" s="712">
        <f t="shared" si="133"/>
        <v>0.14499999999999999</v>
      </c>
      <c r="K184" s="712">
        <f t="shared" si="133"/>
        <v>0.14499999999999999</v>
      </c>
      <c r="L184" s="712">
        <f t="shared" si="133"/>
        <v>0.14499999999999999</v>
      </c>
      <c r="M184" s="712">
        <f t="shared" si="133"/>
        <v>0.14499999999999999</v>
      </c>
      <c r="N184" s="712">
        <f t="shared" si="133"/>
        <v>0.14499999999999999</v>
      </c>
      <c r="O184" t="s">
        <v>1694</v>
      </c>
    </row>
    <row r="185" spans="1:15">
      <c r="A185" s="13" t="str">
        <f>IF(Obal!A185=0,"",Obal!A185)</f>
        <v/>
      </c>
      <c r="B185" s="272" t="str">
        <f>IF(Obal!B185=0,"",Obal!B185)</f>
        <v>Intelligent Cloud SMC  Consumption</v>
      </c>
      <c r="E185" s="712">
        <f t="shared" ref="E185:N185" si="134">calcProd2Seg2Consumption</f>
        <v>0.14500000000000002</v>
      </c>
      <c r="F185" s="712">
        <f t="shared" si="134"/>
        <v>0.14500000000000002</v>
      </c>
      <c r="G185" s="712">
        <f t="shared" si="134"/>
        <v>0.14500000000000002</v>
      </c>
      <c r="H185" s="712">
        <f t="shared" si="134"/>
        <v>0.14500000000000002</v>
      </c>
      <c r="I185" s="712">
        <f t="shared" si="134"/>
        <v>0.14500000000000002</v>
      </c>
      <c r="J185" s="712">
        <f t="shared" si="134"/>
        <v>0.14500000000000002</v>
      </c>
      <c r="K185" s="712">
        <f t="shared" si="134"/>
        <v>0.14500000000000002</v>
      </c>
      <c r="L185" s="712">
        <f t="shared" si="134"/>
        <v>0.14500000000000002</v>
      </c>
      <c r="M185" s="712">
        <f t="shared" si="134"/>
        <v>0.14500000000000002</v>
      </c>
      <c r="N185" s="712">
        <f t="shared" si="134"/>
        <v>0.14500000000000002</v>
      </c>
      <c r="O185" t="s">
        <v>1695</v>
      </c>
    </row>
    <row r="186" spans="1:15">
      <c r="A186" s="13" t="str">
        <f>IF(Obal!A186=0,"",Obal!A186)</f>
        <v/>
      </c>
      <c r="B186" s="272" t="str">
        <f>IF(Obal!B186=0,"",Obal!B186)</f>
        <v/>
      </c>
      <c r="E186" s="712"/>
      <c r="F186" s="712"/>
      <c r="G186" s="712"/>
      <c r="H186" s="712"/>
      <c r="I186" s="712"/>
      <c r="J186" s="712"/>
      <c r="K186" s="712"/>
      <c r="L186" s="712"/>
      <c r="M186" s="712"/>
      <c r="N186" s="712"/>
    </row>
    <row r="187" spans="1:15">
      <c r="A187" s="13" t="str">
        <f>IF(Obal!A187=0,"",Obal!A187)</f>
        <v/>
      </c>
      <c r="B187" s="272" t="str">
        <f>IF(Obal!B187=0,"",Obal!B187)</f>
        <v>Average Consumption</v>
      </c>
      <c r="E187" s="712">
        <f t="shared" ref="E187:N187" si="135">calcAvgConsumption</f>
        <v>0.14889885236960354</v>
      </c>
      <c r="F187" s="712">
        <f t="shared" si="135"/>
        <v>0.14889885236960354</v>
      </c>
      <c r="G187" s="712">
        <f t="shared" si="135"/>
        <v>0.14889885236960354</v>
      </c>
      <c r="H187" s="712">
        <f t="shared" si="135"/>
        <v>0.14889885236960354</v>
      </c>
      <c r="I187" s="712">
        <f t="shared" si="135"/>
        <v>0.14889885236960354</v>
      </c>
      <c r="J187" s="712">
        <f t="shared" si="135"/>
        <v>0.14889885236960354</v>
      </c>
      <c r="K187" s="712">
        <f t="shared" si="135"/>
        <v>0.14889885236960354</v>
      </c>
      <c r="L187" s="712">
        <f t="shared" si="135"/>
        <v>0.14889885236960354</v>
      </c>
      <c r="M187" s="712">
        <f t="shared" si="135"/>
        <v>0.14889885236960354</v>
      </c>
      <c r="N187" s="712">
        <f t="shared" si="135"/>
        <v>0.14889885236960354</v>
      </c>
      <c r="O187" t="s">
        <v>1697</v>
      </c>
    </row>
    <row r="188" spans="1:15">
      <c r="A188" s="13" t="str">
        <f>IF(Obal!A188=0,"",Obal!A188)</f>
        <v/>
      </c>
      <c r="B188" s="272" t="str">
        <f>IF(Obal!B188=0,"",Obal!B188)</f>
        <v/>
      </c>
      <c r="E188" s="496"/>
      <c r="F188" s="496"/>
      <c r="G188" s="496"/>
      <c r="H188" s="496"/>
      <c r="I188" s="496"/>
      <c r="J188" s="496"/>
      <c r="K188" s="496"/>
      <c r="L188" s="496"/>
      <c r="M188" s="496"/>
      <c r="N188" s="496"/>
    </row>
    <row r="189" spans="1:15">
      <c r="A189" s="13" t="str">
        <f>IF(Obal!A189=0,"",Obal!A189)</f>
        <v>Renewal Rate</v>
      </c>
      <c r="B189" s="272" t="str">
        <f>IF(Obal!B189=0,"",Obal!B189)</f>
        <v/>
      </c>
      <c r="E189" s="712"/>
      <c r="F189" s="712"/>
      <c r="G189" s="712"/>
      <c r="H189" s="712"/>
      <c r="I189" s="712"/>
      <c r="J189" s="712"/>
      <c r="K189" s="712"/>
      <c r="L189" s="712"/>
      <c r="M189" s="712"/>
      <c r="N189" s="712"/>
    </row>
    <row r="190" spans="1:15">
      <c r="A190" s="13" t="str">
        <f>IF(Obal!A191=0,"",Obal!A191)</f>
        <v/>
      </c>
      <c r="B190" s="272" t="str">
        <f>IF(Obal!B190=0,"",Obal!B190)</f>
        <v>Productivity &amp; Business Enterprise  RenRate</v>
      </c>
      <c r="E190" s="712">
        <f t="shared" ref="E190:N190" si="136">calcRenRateProd1Seg1RenewalRateEnd</f>
        <v>0.68994382259548614</v>
      </c>
      <c r="F190" s="712">
        <f t="shared" si="136"/>
        <v>0.68994382259548614</v>
      </c>
      <c r="G190" s="712">
        <f t="shared" si="136"/>
        <v>0.68994382259548614</v>
      </c>
      <c r="H190" s="712">
        <f t="shared" si="136"/>
        <v>0.68994382259548614</v>
      </c>
      <c r="I190" s="712">
        <f t="shared" si="136"/>
        <v>0.68994382259548614</v>
      </c>
      <c r="J190" s="712">
        <f t="shared" si="136"/>
        <v>0.68994382259548614</v>
      </c>
      <c r="K190" s="712">
        <f t="shared" si="136"/>
        <v>0.68994382259548614</v>
      </c>
      <c r="L190" s="712">
        <f t="shared" si="136"/>
        <v>0.68994382259548614</v>
      </c>
      <c r="M190" s="712">
        <f t="shared" si="136"/>
        <v>0.68994382259548614</v>
      </c>
      <c r="N190" s="712">
        <f t="shared" si="136"/>
        <v>0.68994382259548614</v>
      </c>
      <c r="O190" t="s">
        <v>1734</v>
      </c>
    </row>
    <row r="191" spans="1:15">
      <c r="A191" s="13" t="str">
        <f>IF(Obal!A192=0,"",Obal!A192)</f>
        <v/>
      </c>
      <c r="B191" s="272" t="str">
        <f>IF(Obal!B191=0,"",Obal!B191)</f>
        <v>Productivity &amp; Business SMC  RenRate</v>
      </c>
      <c r="E191" s="712">
        <f t="shared" ref="E191:N191" si="137">calcRenRateProd1Seg2RenewalRateEnd</f>
        <v>0.68994382259548614</v>
      </c>
      <c r="F191" s="712">
        <f t="shared" si="137"/>
        <v>0.68994382259548614</v>
      </c>
      <c r="G191" s="712">
        <f t="shared" si="137"/>
        <v>0.68994382259548614</v>
      </c>
      <c r="H191" s="712">
        <f t="shared" si="137"/>
        <v>0.68994382259548614</v>
      </c>
      <c r="I191" s="712">
        <f t="shared" si="137"/>
        <v>0.68994382259548614</v>
      </c>
      <c r="J191" s="712">
        <f t="shared" si="137"/>
        <v>0.68994382259548614</v>
      </c>
      <c r="K191" s="712">
        <f t="shared" si="137"/>
        <v>0.68994382259548614</v>
      </c>
      <c r="L191" s="712">
        <f t="shared" si="137"/>
        <v>0.68994382259548614</v>
      </c>
      <c r="M191" s="712">
        <f t="shared" si="137"/>
        <v>0.68994382259548614</v>
      </c>
      <c r="N191" s="712">
        <f t="shared" si="137"/>
        <v>0.68994382259548614</v>
      </c>
      <c r="O191" t="s">
        <v>1735</v>
      </c>
    </row>
    <row r="192" spans="1:15">
      <c r="A192" s="13" t="str">
        <f>IF(Obal!A193=0,"",Obal!A193)</f>
        <v/>
      </c>
      <c r="B192" s="272" t="str">
        <f>IF(Obal!B192=0,"",Obal!B192)</f>
        <v>Productivity &amp; Business Consumer Total RenRate</v>
      </c>
      <c r="E192" s="712">
        <f t="shared" ref="E192:N192" si="138">calcRenRateProd1Seg3RenewalRateEnd</f>
        <v>0.68994382259548614</v>
      </c>
      <c r="F192" s="712">
        <f t="shared" si="138"/>
        <v>0.68994382259548614</v>
      </c>
      <c r="G192" s="712">
        <f t="shared" si="138"/>
        <v>0.68994382259548614</v>
      </c>
      <c r="H192" s="712">
        <f t="shared" si="138"/>
        <v>0.68994382259548614</v>
      </c>
      <c r="I192" s="712">
        <f t="shared" si="138"/>
        <v>0.68994382259548614</v>
      </c>
      <c r="J192" s="712">
        <f t="shared" si="138"/>
        <v>0.68994382259548614</v>
      </c>
      <c r="K192" s="712">
        <f t="shared" si="138"/>
        <v>0.68994382259548614</v>
      </c>
      <c r="L192" s="712">
        <f t="shared" si="138"/>
        <v>0.68994382259548614</v>
      </c>
      <c r="M192" s="712">
        <f t="shared" si="138"/>
        <v>0.68994382259548614</v>
      </c>
      <c r="N192" s="712">
        <f t="shared" si="138"/>
        <v>0.68994382259548614</v>
      </c>
      <c r="O192" t="s">
        <v>1736</v>
      </c>
    </row>
    <row r="193" spans="1:15">
      <c r="A193" s="13" t="str">
        <f>IF(Obal!A194=0,"",Obal!A194)</f>
        <v/>
      </c>
      <c r="B193" s="272" t="str">
        <f>IF(Obal!B193=0,"",Obal!B193)</f>
        <v>Intelligent Cloud Enterprise  RenRate</v>
      </c>
      <c r="E193" s="712">
        <f t="shared" ref="E193:N193" si="139">calcRenRateProd2Seg1RenewalRateEnd</f>
        <v>0.68994382259548614</v>
      </c>
      <c r="F193" s="712">
        <f t="shared" si="139"/>
        <v>0.68994382259548614</v>
      </c>
      <c r="G193" s="712">
        <f t="shared" si="139"/>
        <v>0.68994382259548614</v>
      </c>
      <c r="H193" s="712">
        <f t="shared" si="139"/>
        <v>0.68994382259548614</v>
      </c>
      <c r="I193" s="712">
        <f t="shared" si="139"/>
        <v>0.68994382259548614</v>
      </c>
      <c r="J193" s="712">
        <f t="shared" si="139"/>
        <v>0.68994382259548614</v>
      </c>
      <c r="K193" s="712">
        <f t="shared" si="139"/>
        <v>0.68994382259548614</v>
      </c>
      <c r="L193" s="712">
        <f t="shared" si="139"/>
        <v>0.68994382259548614</v>
      </c>
      <c r="M193" s="712">
        <f t="shared" si="139"/>
        <v>0.68994382259548614</v>
      </c>
      <c r="N193" s="712">
        <f t="shared" si="139"/>
        <v>0.68994382259548614</v>
      </c>
      <c r="O193" t="s">
        <v>1737</v>
      </c>
    </row>
    <row r="194" spans="1:15">
      <c r="A194" s="13" t="str">
        <f>IF(Obal!A195=0,"",Obal!A195)</f>
        <v/>
      </c>
      <c r="B194" s="272" t="str">
        <f>IF(Obal!B194=0,"",Obal!B194)</f>
        <v>Intelligent Cloud SMC  RenRate</v>
      </c>
      <c r="E194" s="712">
        <f t="shared" ref="E194:N194" si="140">calcRenRateProd2Seg2RenewalRateEnd</f>
        <v>0.68994382259548614</v>
      </c>
      <c r="F194" s="712">
        <f t="shared" si="140"/>
        <v>0.68994382259548614</v>
      </c>
      <c r="G194" s="712">
        <f t="shared" si="140"/>
        <v>0.68994382259548614</v>
      </c>
      <c r="H194" s="712">
        <f t="shared" si="140"/>
        <v>0.68994382259548614</v>
      </c>
      <c r="I194" s="712">
        <f t="shared" si="140"/>
        <v>0.68994382259548614</v>
      </c>
      <c r="J194" s="712">
        <f t="shared" si="140"/>
        <v>0.68994382259548614</v>
      </c>
      <c r="K194" s="712">
        <f t="shared" si="140"/>
        <v>0.68994382259548614</v>
      </c>
      <c r="L194" s="712">
        <f t="shared" si="140"/>
        <v>0.68994382259548614</v>
      </c>
      <c r="M194" s="712">
        <f t="shared" si="140"/>
        <v>0.68994382259548614</v>
      </c>
      <c r="N194" s="712">
        <f t="shared" si="140"/>
        <v>0.68994382259548614</v>
      </c>
      <c r="O194" t="s">
        <v>1738</v>
      </c>
    </row>
    <row r="195" spans="1:15">
      <c r="A195" s="13" t="str">
        <f>IF(Obal!A195=0,"",Obal!A195)</f>
        <v/>
      </c>
      <c r="B195" s="272" t="str">
        <f>IF(Obal!B195=0,"",Obal!B195)</f>
        <v/>
      </c>
      <c r="E195" s="712"/>
      <c r="F195" s="712"/>
      <c r="G195" s="712"/>
      <c r="H195" s="712"/>
      <c r="I195" s="712"/>
      <c r="J195" s="712"/>
      <c r="K195" s="712"/>
      <c r="L195" s="712"/>
      <c r="M195" s="712"/>
      <c r="N195" s="712"/>
    </row>
    <row r="196" spans="1:15">
      <c r="A196" s="13" t="str">
        <f>IF(Obal!A196=0,"",Obal!A196)</f>
        <v/>
      </c>
      <c r="B196" s="272" t="str">
        <f>IF(Obal!B196=0,"",Obal!B196)</f>
        <v>Average Renewal Rate</v>
      </c>
      <c r="E196" s="712">
        <f t="shared" ref="E196:N196" si="141">calcAvgRenRate</f>
        <v>0.68994382259548614</v>
      </c>
      <c r="F196" s="712">
        <f t="shared" si="141"/>
        <v>0.68994382259548614</v>
      </c>
      <c r="G196" s="712">
        <f t="shared" si="141"/>
        <v>0.68994382259548614</v>
      </c>
      <c r="H196" s="712">
        <f t="shared" si="141"/>
        <v>0.68994382259548614</v>
      </c>
      <c r="I196" s="712">
        <f t="shared" si="141"/>
        <v>0.68994382259548614</v>
      </c>
      <c r="J196" s="712">
        <f t="shared" si="141"/>
        <v>0.68994382259548614</v>
      </c>
      <c r="K196" s="712">
        <f t="shared" si="141"/>
        <v>0.68994382259548614</v>
      </c>
      <c r="L196" s="712">
        <f t="shared" si="141"/>
        <v>0.68994382259548614</v>
      </c>
      <c r="M196" s="712">
        <f t="shared" si="141"/>
        <v>0.68994382259548614</v>
      </c>
      <c r="N196" s="712">
        <f t="shared" si="141"/>
        <v>0.68994382259548614</v>
      </c>
      <c r="O196" t="s">
        <v>1739</v>
      </c>
    </row>
    <row r="197" spans="1:15">
      <c r="A197" s="13" t="str">
        <f>IF(Obal!A197=0,"",Obal!A197)</f>
        <v/>
      </c>
      <c r="B197" s="272" t="str">
        <f>IF(Obal!B197=0,"",Obal!B197)</f>
        <v/>
      </c>
      <c r="E197" s="496"/>
      <c r="F197" s="496"/>
      <c r="G197" s="496"/>
      <c r="H197" s="496"/>
      <c r="I197" s="496"/>
      <c r="J197" s="496"/>
      <c r="K197" s="496"/>
      <c r="L197" s="496"/>
      <c r="M197" s="496"/>
      <c r="N197" s="496"/>
    </row>
    <row r="198" spans="1:15">
      <c r="A198" s="13" t="str">
        <f>IF(Obal!A198=0,"",Obal!A198)</f>
        <v>COGS</v>
      </c>
      <c r="B198" s="272" t="str">
        <f>IF(Obal!B198=0,"",Obal!B198)</f>
        <v/>
      </c>
      <c r="E198" s="496"/>
      <c r="F198" s="496"/>
      <c r="G198" s="496"/>
      <c r="H198" s="496"/>
      <c r="I198" s="496"/>
      <c r="J198" s="496"/>
      <c r="K198" s="496"/>
      <c r="L198" s="496"/>
      <c r="M198" s="496"/>
      <c r="N198" s="496"/>
    </row>
    <row r="199" spans="1:15">
      <c r="A199" s="13" t="str">
        <f>IF(Obal!A199=0,"",Obal!A199)</f>
        <v/>
      </c>
      <c r="B199" s="272" t="str">
        <f>IF(Obal!B199=0,"",Obal!B199)</f>
        <v>Productivity &amp; Business New COGS</v>
      </c>
      <c r="E199" s="728">
        <f t="shared" ref="E199:N199" si="142">CalcProd1Seg1BaseCOGSPNewUnit</f>
        <v>3</v>
      </c>
      <c r="F199" s="728">
        <f t="shared" si="142"/>
        <v>3</v>
      </c>
      <c r="G199" s="728">
        <f t="shared" si="142"/>
        <v>3</v>
      </c>
      <c r="H199" s="728">
        <f t="shared" si="142"/>
        <v>3</v>
      </c>
      <c r="I199" s="728">
        <f t="shared" si="142"/>
        <v>3</v>
      </c>
      <c r="J199" s="728">
        <f t="shared" si="142"/>
        <v>3</v>
      </c>
      <c r="K199" s="728">
        <f t="shared" si="142"/>
        <v>3</v>
      </c>
      <c r="L199" s="728">
        <f t="shared" si="142"/>
        <v>3</v>
      </c>
      <c r="M199" s="728">
        <f t="shared" si="142"/>
        <v>3</v>
      </c>
      <c r="N199" s="728">
        <f t="shared" si="142"/>
        <v>3</v>
      </c>
      <c r="O199" t="s">
        <v>2079</v>
      </c>
    </row>
    <row r="200" spans="1:15">
      <c r="A200" s="13" t="str">
        <f>IF(Obal!A200=0,"",Obal!A200)</f>
        <v/>
      </c>
      <c r="B200" s="272" t="str">
        <f>IF(Obal!B200=0,"",Obal!B200)</f>
        <v>Productivity &amp; Business Renewal COGS</v>
      </c>
      <c r="E200" s="728">
        <f t="shared" ref="E200:N200" si="143">CalcProd1Seg1BaseCOGSPRenewalUnit</f>
        <v>2.7</v>
      </c>
      <c r="F200" s="728">
        <f t="shared" si="143"/>
        <v>2.7</v>
      </c>
      <c r="G200" s="728">
        <f t="shared" si="143"/>
        <v>2.7</v>
      </c>
      <c r="H200" s="728">
        <f t="shared" si="143"/>
        <v>2.7</v>
      </c>
      <c r="I200" s="728">
        <f t="shared" si="143"/>
        <v>2.7</v>
      </c>
      <c r="J200" s="728">
        <f t="shared" si="143"/>
        <v>2.7</v>
      </c>
      <c r="K200" s="728">
        <f t="shared" si="143"/>
        <v>2.7</v>
      </c>
      <c r="L200" s="728">
        <f t="shared" si="143"/>
        <v>2.7</v>
      </c>
      <c r="M200" s="728">
        <f t="shared" si="143"/>
        <v>2.7</v>
      </c>
      <c r="N200" s="728">
        <f t="shared" si="143"/>
        <v>2.7</v>
      </c>
      <c r="O200" t="s">
        <v>2080</v>
      </c>
    </row>
    <row r="201" spans="1:15">
      <c r="A201" s="13" t="str">
        <f>IF(Obal!A201=0,"",Obal!A201)</f>
        <v/>
      </c>
      <c r="B201" s="272" t="str">
        <f>IF(Obal!B201=0,"",Obal!B201)</f>
        <v>Intelligent Cloud New COGS</v>
      </c>
      <c r="E201" s="728">
        <f t="shared" ref="E201:N201" si="144">CalcProd2Seg1BaseCOGSPNewUnit</f>
        <v>9.5</v>
      </c>
      <c r="F201" s="728">
        <f t="shared" si="144"/>
        <v>9.5</v>
      </c>
      <c r="G201" s="728">
        <f t="shared" si="144"/>
        <v>9.5</v>
      </c>
      <c r="H201" s="728">
        <f t="shared" si="144"/>
        <v>9.5</v>
      </c>
      <c r="I201" s="728">
        <f t="shared" si="144"/>
        <v>9.5</v>
      </c>
      <c r="J201" s="728">
        <f t="shared" si="144"/>
        <v>9.5</v>
      </c>
      <c r="K201" s="728">
        <f t="shared" si="144"/>
        <v>9.5</v>
      </c>
      <c r="L201" s="728">
        <f t="shared" si="144"/>
        <v>9.5</v>
      </c>
      <c r="M201" s="728">
        <f t="shared" si="144"/>
        <v>9.5</v>
      </c>
      <c r="N201" s="728">
        <f t="shared" si="144"/>
        <v>9.5</v>
      </c>
      <c r="O201" t="s">
        <v>2081</v>
      </c>
    </row>
    <row r="202" spans="1:15">
      <c r="A202" s="13" t="str">
        <f>IF(Obal!A202=0,"",Obal!A202)</f>
        <v/>
      </c>
      <c r="B202" s="272" t="str">
        <f>IF(Obal!B202=0,"",Obal!B202)</f>
        <v>Intelligent Cloud Renewal COGS</v>
      </c>
      <c r="E202" s="728">
        <f t="shared" ref="E202:N202" si="145">CalcProd2Seg1BaseCOGSPRenewalUnit</f>
        <v>8.5</v>
      </c>
      <c r="F202" s="728">
        <f t="shared" si="145"/>
        <v>8.5</v>
      </c>
      <c r="G202" s="728">
        <f t="shared" si="145"/>
        <v>8.5</v>
      </c>
      <c r="H202" s="728">
        <f t="shared" si="145"/>
        <v>8.5</v>
      </c>
      <c r="I202" s="728">
        <f t="shared" si="145"/>
        <v>8.5</v>
      </c>
      <c r="J202" s="728">
        <f t="shared" si="145"/>
        <v>8.5</v>
      </c>
      <c r="K202" s="728">
        <f t="shared" si="145"/>
        <v>8.5</v>
      </c>
      <c r="L202" s="728">
        <f t="shared" si="145"/>
        <v>8.5</v>
      </c>
      <c r="M202" s="728">
        <f t="shared" si="145"/>
        <v>8.5</v>
      </c>
      <c r="N202" s="728">
        <f t="shared" si="145"/>
        <v>8.5</v>
      </c>
      <c r="O202" t="s">
        <v>2082</v>
      </c>
    </row>
    <row r="203" spans="1:15">
      <c r="A203" s="13" t="str">
        <f>IF(Obal!A203=0,"",Obal!A203)</f>
        <v/>
      </c>
      <c r="B203" s="272" t="str">
        <f>IF(Obal!B203=0,"",Obal!B203)</f>
        <v>Personal Computing Material COGS</v>
      </c>
      <c r="E203" s="728">
        <f t="shared" ref="E203:N203" si="146">calcProd3Seg1BaseMatExp</f>
        <v>96</v>
      </c>
      <c r="F203" s="728">
        <f t="shared" si="146"/>
        <v>96</v>
      </c>
      <c r="G203" s="728">
        <f t="shared" si="146"/>
        <v>96</v>
      </c>
      <c r="H203" s="728">
        <f t="shared" si="146"/>
        <v>96</v>
      </c>
      <c r="I203" s="728">
        <f t="shared" si="146"/>
        <v>96</v>
      </c>
      <c r="J203" s="728">
        <f t="shared" si="146"/>
        <v>96</v>
      </c>
      <c r="K203" s="728">
        <f t="shared" si="146"/>
        <v>96</v>
      </c>
      <c r="L203" s="728">
        <f t="shared" si="146"/>
        <v>96</v>
      </c>
      <c r="M203" s="728">
        <f t="shared" si="146"/>
        <v>96</v>
      </c>
      <c r="N203" s="728">
        <f t="shared" si="146"/>
        <v>96</v>
      </c>
      <c r="O203" t="s">
        <v>2083</v>
      </c>
    </row>
    <row r="204" spans="1:15">
      <c r="A204" s="13" t="str">
        <f>IF(Obal!A204=0,"",Obal!A204)</f>
        <v/>
      </c>
      <c r="B204" s="272" t="str">
        <f>IF(Obal!B204=0,"",Obal!B204)</f>
        <v>Personal Computing Labor COGS</v>
      </c>
      <c r="E204" s="728">
        <f t="shared" ref="E204:N204" si="147">obalProd3BaseLaborCOGS</f>
        <v>80</v>
      </c>
      <c r="F204" s="728">
        <f t="shared" si="147"/>
        <v>80</v>
      </c>
      <c r="G204" s="728">
        <f t="shared" si="147"/>
        <v>80</v>
      </c>
      <c r="H204" s="728">
        <f t="shared" si="147"/>
        <v>80</v>
      </c>
      <c r="I204" s="728">
        <f t="shared" si="147"/>
        <v>80</v>
      </c>
      <c r="J204" s="728">
        <f t="shared" si="147"/>
        <v>80</v>
      </c>
      <c r="K204" s="728">
        <f t="shared" si="147"/>
        <v>80</v>
      </c>
      <c r="L204" s="728">
        <f t="shared" si="147"/>
        <v>80</v>
      </c>
      <c r="M204" s="728">
        <f t="shared" si="147"/>
        <v>80</v>
      </c>
      <c r="N204" s="728">
        <f t="shared" si="147"/>
        <v>80</v>
      </c>
      <c r="O204" t="s">
        <v>2084</v>
      </c>
    </row>
    <row r="205" spans="1:15">
      <c r="A205" s="13" t="str">
        <f>IF(Obal!A205=0,"",Obal!A205)</f>
        <v/>
      </c>
      <c r="B205" s="272" t="str">
        <f>IF(Obal!B205=0,"",Obal!B205)</f>
        <v/>
      </c>
      <c r="E205" s="496"/>
      <c r="F205" s="496"/>
      <c r="G205" s="496"/>
      <c r="H205" s="496"/>
      <c r="I205" s="496"/>
      <c r="J205" s="496"/>
      <c r="K205" s="496"/>
      <c r="L205" s="496"/>
      <c r="M205" s="496"/>
      <c r="N205" s="496"/>
    </row>
    <row r="206" spans="1:15">
      <c r="A206" s="13" t="str">
        <f>IF(Obal!A206=0,"",Obal!A206)</f>
        <v>Premiering Services Customers</v>
      </c>
      <c r="B206" s="272" t="str">
        <f>IF(Obal!B206=0,"",Obal!B206)</f>
        <v/>
      </c>
      <c r="E206" s="30"/>
      <c r="F206" s="30"/>
      <c r="G206" s="30"/>
      <c r="H206" s="30"/>
      <c r="I206" s="30"/>
      <c r="J206" s="30"/>
      <c r="K206" s="30"/>
      <c r="L206" s="30"/>
      <c r="M206" s="30"/>
      <c r="N206" s="30"/>
    </row>
    <row r="207" spans="1:15">
      <c r="A207" s="13" t="str">
        <f>IF(Obal!A207=0,"",Obal!A207)</f>
        <v/>
      </c>
      <c r="B207" s="272" t="str">
        <f>IF(Obal!B207=0,"",Obal!B207)</f>
        <v>Productivity &amp; Business Enterprise New Customers</v>
      </c>
      <c r="E207" s="30">
        <f t="shared" ref="E207:N207" si="148">CalcProd1Seg1NewCustomers</f>
        <v>219.22302600000026</v>
      </c>
      <c r="F207" s="30">
        <f t="shared" si="148"/>
        <v>219.22302600000026</v>
      </c>
      <c r="G207" s="30">
        <f t="shared" si="148"/>
        <v>219.22302600000026</v>
      </c>
      <c r="H207" s="30">
        <f t="shared" si="148"/>
        <v>219.22302600000026</v>
      </c>
      <c r="I207" s="30">
        <f t="shared" si="148"/>
        <v>219.22302600000026</v>
      </c>
      <c r="J207" s="30">
        <f t="shared" si="148"/>
        <v>219.22302600000026</v>
      </c>
      <c r="K207" s="30">
        <f t="shared" si="148"/>
        <v>219.22302600000026</v>
      </c>
      <c r="L207" s="30">
        <f t="shared" si="148"/>
        <v>219.22302600000026</v>
      </c>
      <c r="M207" s="30">
        <f t="shared" si="148"/>
        <v>219.22302600000026</v>
      </c>
      <c r="N207" s="30">
        <f t="shared" si="148"/>
        <v>219.22302600000026</v>
      </c>
      <c r="O207" t="s">
        <v>1600</v>
      </c>
    </row>
    <row r="208" spans="1:15">
      <c r="A208" s="13" t="str">
        <f>IF(Obal!A208=0,"",Obal!A208)</f>
        <v/>
      </c>
      <c r="B208" s="272" t="str">
        <f>IF(Obal!B208=0,"",Obal!B208)</f>
        <v>Productivity &amp; Business Enterprise Renewed Customers</v>
      </c>
      <c r="E208" s="30">
        <f t="shared" ref="E208:N208" si="149">CalcProd1Seg1RenewalCustomers</f>
        <v>364.09265115225247</v>
      </c>
      <c r="F208" s="30">
        <f t="shared" si="149"/>
        <v>364.09265115225247</v>
      </c>
      <c r="G208" s="30">
        <f t="shared" si="149"/>
        <v>364.09265115225247</v>
      </c>
      <c r="H208" s="30">
        <f t="shared" si="149"/>
        <v>364.09265115225247</v>
      </c>
      <c r="I208" s="30">
        <f t="shared" si="149"/>
        <v>364.09265115225247</v>
      </c>
      <c r="J208" s="30">
        <f t="shared" si="149"/>
        <v>364.09265115225247</v>
      </c>
      <c r="K208" s="30">
        <f t="shared" si="149"/>
        <v>364.09265115225247</v>
      </c>
      <c r="L208" s="30">
        <f t="shared" si="149"/>
        <v>364.09265115225247</v>
      </c>
      <c r="M208" s="30">
        <f t="shared" si="149"/>
        <v>364.09265115225247</v>
      </c>
      <c r="N208" s="30">
        <f t="shared" si="149"/>
        <v>364.09265115225247</v>
      </c>
      <c r="O208" t="s">
        <v>1601</v>
      </c>
    </row>
    <row r="209" spans="1:15">
      <c r="A209" s="13" t="str">
        <f>IF(Obal!A209=0,"",Obal!A209)</f>
        <v/>
      </c>
      <c r="B209" s="272" t="str">
        <f>IF(Obal!B209=0,"",Obal!B209)</f>
        <v>Productivity &amp; Business Enterprise Total Customers</v>
      </c>
      <c r="E209" s="30">
        <f t="shared" ref="E209:N209" si="150">CalcProd1Seg1TotalCustomers</f>
        <v>583.31567715225276</v>
      </c>
      <c r="F209" s="30">
        <f t="shared" si="150"/>
        <v>583.31567715225276</v>
      </c>
      <c r="G209" s="30">
        <f t="shared" si="150"/>
        <v>583.31567715225276</v>
      </c>
      <c r="H209" s="30">
        <f t="shared" si="150"/>
        <v>583.31567715225276</v>
      </c>
      <c r="I209" s="30">
        <f t="shared" si="150"/>
        <v>583.31567715225276</v>
      </c>
      <c r="J209" s="30">
        <f t="shared" si="150"/>
        <v>583.31567715225276</v>
      </c>
      <c r="K209" s="30">
        <f t="shared" si="150"/>
        <v>583.31567715225276</v>
      </c>
      <c r="L209" s="30">
        <f t="shared" si="150"/>
        <v>583.31567715225276</v>
      </c>
      <c r="M209" s="30">
        <f t="shared" si="150"/>
        <v>583.31567715225276</v>
      </c>
      <c r="N209" s="30">
        <f t="shared" si="150"/>
        <v>583.31567715225276</v>
      </c>
      <c r="O209" t="s">
        <v>1602</v>
      </c>
    </row>
    <row r="210" spans="1:15">
      <c r="A210" s="13" t="str">
        <f>IF(Obal!A210=0,"",Obal!A210)</f>
        <v/>
      </c>
      <c r="B210" s="272" t="str">
        <f>IF(Obal!B210=0,"",Obal!B210)</f>
        <v/>
      </c>
      <c r="E210" s="30"/>
      <c r="F210" s="30"/>
      <c r="G210" s="30"/>
      <c r="H210" s="30"/>
      <c r="I210" s="30"/>
      <c r="J210" s="30"/>
      <c r="K210" s="30"/>
      <c r="L210" s="30"/>
      <c r="M210" s="30"/>
      <c r="N210" s="30"/>
    </row>
    <row r="211" spans="1:15">
      <c r="A211" s="13" t="str">
        <f>IF(Obal!A211=0,"",Obal!A211)</f>
        <v/>
      </c>
      <c r="B211" s="272" t="str">
        <f>IF(Obal!B211=0,"",Obal!B211)</f>
        <v>Productivity &amp; Business SMC New Customers</v>
      </c>
      <c r="E211" s="30">
        <f t="shared" ref="E211:N211" si="151">CalcProd1Seg2NewCustomers</f>
        <v>1522.9140300000004</v>
      </c>
      <c r="F211" s="30">
        <f t="shared" si="151"/>
        <v>1522.9140300000004</v>
      </c>
      <c r="G211" s="30">
        <f t="shared" si="151"/>
        <v>1522.9140300000004</v>
      </c>
      <c r="H211" s="30">
        <f t="shared" si="151"/>
        <v>1522.9140300000004</v>
      </c>
      <c r="I211" s="30">
        <f t="shared" si="151"/>
        <v>1522.9140300000004</v>
      </c>
      <c r="J211" s="30">
        <f t="shared" si="151"/>
        <v>1522.9140300000004</v>
      </c>
      <c r="K211" s="30">
        <f t="shared" si="151"/>
        <v>1522.9140300000004</v>
      </c>
      <c r="L211" s="30">
        <f t="shared" si="151"/>
        <v>1522.9140300000004</v>
      </c>
      <c r="M211" s="30">
        <f t="shared" si="151"/>
        <v>1522.9140300000004</v>
      </c>
      <c r="N211" s="30">
        <f t="shared" si="151"/>
        <v>1522.9140300000004</v>
      </c>
      <c r="O211" t="s">
        <v>1603</v>
      </c>
    </row>
    <row r="212" spans="1:15">
      <c r="A212" s="13" t="str">
        <f>IF(Obal!A212=0,"",Obal!A212)</f>
        <v/>
      </c>
      <c r="B212" s="272" t="str">
        <f>IF(Obal!B212=0,"",Obal!B212)</f>
        <v>Productivity &amp; Business SMC Renewed Customers</v>
      </c>
      <c r="E212" s="30">
        <f t="shared" ref="E212:N212" si="152">CalcProd1Seg2RenewalCustomers</f>
        <v>2213.3245120548609</v>
      </c>
      <c r="F212" s="30">
        <f t="shared" si="152"/>
        <v>2213.3245120548609</v>
      </c>
      <c r="G212" s="30">
        <f t="shared" si="152"/>
        <v>2213.3245120548609</v>
      </c>
      <c r="H212" s="30">
        <f t="shared" si="152"/>
        <v>2213.3245120548609</v>
      </c>
      <c r="I212" s="30">
        <f t="shared" si="152"/>
        <v>2213.3245120548609</v>
      </c>
      <c r="J212" s="30">
        <f t="shared" si="152"/>
        <v>2213.3245120548609</v>
      </c>
      <c r="K212" s="30">
        <f t="shared" si="152"/>
        <v>2213.3245120548609</v>
      </c>
      <c r="L212" s="30">
        <f t="shared" si="152"/>
        <v>2213.3245120548609</v>
      </c>
      <c r="M212" s="30">
        <f t="shared" si="152"/>
        <v>2213.3245120548609</v>
      </c>
      <c r="N212" s="30">
        <f t="shared" si="152"/>
        <v>2213.3245120548609</v>
      </c>
      <c r="O212" t="s">
        <v>1604</v>
      </c>
    </row>
    <row r="213" spans="1:15">
      <c r="A213" s="13" t="str">
        <f>IF(Obal!A213=0,"",Obal!A213)</f>
        <v/>
      </c>
      <c r="B213" s="272" t="str">
        <f>IF(Obal!B213=0,"",Obal!B213)</f>
        <v>Productivity &amp; Business SMC Total Customers</v>
      </c>
      <c r="E213" s="30">
        <f t="shared" ref="E213:N213" si="153">CalcProd1Seg2TotalCustomers</f>
        <v>3736.2385420548612</v>
      </c>
      <c r="F213" s="30">
        <f t="shared" si="153"/>
        <v>3736.2385420548612</v>
      </c>
      <c r="G213" s="30">
        <f t="shared" si="153"/>
        <v>3736.2385420548612</v>
      </c>
      <c r="H213" s="30">
        <f t="shared" si="153"/>
        <v>3736.2385420548612</v>
      </c>
      <c r="I213" s="30">
        <f t="shared" si="153"/>
        <v>3736.2385420548612</v>
      </c>
      <c r="J213" s="30">
        <f t="shared" si="153"/>
        <v>3736.2385420548612</v>
      </c>
      <c r="K213" s="30">
        <f t="shared" si="153"/>
        <v>3736.2385420548612</v>
      </c>
      <c r="L213" s="30">
        <f t="shared" si="153"/>
        <v>3736.2385420548612</v>
      </c>
      <c r="M213" s="30">
        <f t="shared" si="153"/>
        <v>3736.2385420548612</v>
      </c>
      <c r="N213" s="30">
        <f t="shared" si="153"/>
        <v>3736.2385420548612</v>
      </c>
      <c r="O213" t="s">
        <v>1605</v>
      </c>
    </row>
    <row r="214" spans="1:15">
      <c r="A214" s="13" t="str">
        <f>IF(Obal!A214=0,"",Obal!A214)</f>
        <v/>
      </c>
      <c r="B214" s="272" t="str">
        <f>IF(Obal!B214=0,"",Obal!B214)</f>
        <v/>
      </c>
      <c r="E214" s="30"/>
      <c r="F214" s="30"/>
      <c r="G214" s="30"/>
      <c r="H214" s="30"/>
      <c r="I214" s="30"/>
      <c r="J214" s="30"/>
      <c r="K214" s="30"/>
      <c r="L214" s="30"/>
      <c r="M214" s="30"/>
      <c r="N214" s="30"/>
      <c r="O214" s="497"/>
    </row>
    <row r="215" spans="1:15">
      <c r="A215" s="13" t="str">
        <f>IF(Obal!A215=0,"",Obal!A215)</f>
        <v/>
      </c>
      <c r="B215" s="272" t="str">
        <f>IF(Obal!B215=0,"",Obal!B215)</f>
        <v>Intelligent Cloud Enterprise New Customers</v>
      </c>
      <c r="E215" s="30">
        <f t="shared" ref="E215:N215" si="154">CalcProd2Seg1NewCustomers</f>
        <v>163.09466316000007</v>
      </c>
      <c r="F215" s="30">
        <f t="shared" si="154"/>
        <v>163.09466316000007</v>
      </c>
      <c r="G215" s="30">
        <f t="shared" si="154"/>
        <v>163.09466316000007</v>
      </c>
      <c r="H215" s="30">
        <f t="shared" si="154"/>
        <v>163.09466316000007</v>
      </c>
      <c r="I215" s="30">
        <f t="shared" si="154"/>
        <v>163.09466316000007</v>
      </c>
      <c r="J215" s="30">
        <f t="shared" si="154"/>
        <v>163.09466316000007</v>
      </c>
      <c r="K215" s="30">
        <f t="shared" si="154"/>
        <v>163.09466316000007</v>
      </c>
      <c r="L215" s="30">
        <f t="shared" si="154"/>
        <v>163.09466316000007</v>
      </c>
      <c r="M215" s="30">
        <f t="shared" si="154"/>
        <v>163.09466316000007</v>
      </c>
      <c r="N215" s="30">
        <f t="shared" si="154"/>
        <v>163.09466316000007</v>
      </c>
      <c r="O215" t="s">
        <v>1606</v>
      </c>
    </row>
    <row r="216" spans="1:15">
      <c r="A216" s="13" t="str">
        <f>IF(Obal!A216=0,"",Obal!A216)</f>
        <v/>
      </c>
      <c r="B216" s="272" t="str">
        <f>IF(Obal!B216=0,"",Obal!B216)</f>
        <v>Intelligent Cloud Enterprise Renewed Customers</v>
      </c>
      <c r="E216" s="30">
        <f t="shared" ref="E216:N216" si="155">CalcProd2Seg1RenewalCustomers</f>
        <v>160.75607912520474</v>
      </c>
      <c r="F216" s="30">
        <f t="shared" si="155"/>
        <v>160.75607912520474</v>
      </c>
      <c r="G216" s="30">
        <f t="shared" si="155"/>
        <v>160.75607912520474</v>
      </c>
      <c r="H216" s="30">
        <f t="shared" si="155"/>
        <v>160.75607912520474</v>
      </c>
      <c r="I216" s="30">
        <f t="shared" si="155"/>
        <v>160.75607912520474</v>
      </c>
      <c r="J216" s="30">
        <f t="shared" si="155"/>
        <v>160.75607912520474</v>
      </c>
      <c r="K216" s="30">
        <f t="shared" si="155"/>
        <v>160.75607912520474</v>
      </c>
      <c r="L216" s="30">
        <f t="shared" si="155"/>
        <v>160.75607912520474</v>
      </c>
      <c r="M216" s="30">
        <f t="shared" si="155"/>
        <v>160.75607912520474</v>
      </c>
      <c r="N216" s="30">
        <f t="shared" si="155"/>
        <v>160.75607912520474</v>
      </c>
      <c r="O216" t="s">
        <v>1607</v>
      </c>
    </row>
    <row r="217" spans="1:15">
      <c r="A217" s="13" t="str">
        <f>IF(Obal!A217=0,"",Obal!A217)</f>
        <v/>
      </c>
      <c r="B217" s="272" t="str">
        <f>IF(Obal!B217=0,"",Obal!B217)</f>
        <v>Intelligent Cloud Enterprise Total Customers</v>
      </c>
      <c r="E217" s="30">
        <f t="shared" ref="E217:N217" si="156">CalcProd2Seg1TotalCustomers</f>
        <v>323.85074228520477</v>
      </c>
      <c r="F217" s="30">
        <f t="shared" si="156"/>
        <v>323.85074228520477</v>
      </c>
      <c r="G217" s="30">
        <f t="shared" si="156"/>
        <v>323.85074228520477</v>
      </c>
      <c r="H217" s="30">
        <f t="shared" si="156"/>
        <v>323.85074228520477</v>
      </c>
      <c r="I217" s="30">
        <f t="shared" si="156"/>
        <v>323.85074228520477</v>
      </c>
      <c r="J217" s="30">
        <f t="shared" si="156"/>
        <v>323.85074228520477</v>
      </c>
      <c r="K217" s="30">
        <f t="shared" si="156"/>
        <v>323.85074228520477</v>
      </c>
      <c r="L217" s="30">
        <f t="shared" si="156"/>
        <v>323.85074228520477</v>
      </c>
      <c r="M217" s="30">
        <f t="shared" si="156"/>
        <v>323.85074228520477</v>
      </c>
      <c r="N217" s="30">
        <f t="shared" si="156"/>
        <v>323.85074228520477</v>
      </c>
      <c r="O217" t="s">
        <v>1608</v>
      </c>
    </row>
    <row r="218" spans="1:15">
      <c r="A218" s="13" t="str">
        <f>IF(Obal!A218=0,"",Obal!A218)</f>
        <v/>
      </c>
      <c r="B218" s="272" t="str">
        <f>IF(Obal!B218=0,"",Obal!B218)</f>
        <v/>
      </c>
      <c r="E218" s="30"/>
      <c r="F218" s="30"/>
      <c r="G218" s="30"/>
      <c r="H218" s="30"/>
      <c r="I218" s="30"/>
      <c r="J218" s="30"/>
      <c r="K218" s="30"/>
      <c r="L218" s="30"/>
      <c r="M218" s="30"/>
      <c r="N218" s="30"/>
    </row>
    <row r="219" spans="1:15">
      <c r="A219" s="13" t="str">
        <f>IF(Obal!A219=0,"",Obal!A219)</f>
        <v/>
      </c>
      <c r="B219" s="272" t="str">
        <f>IF(Obal!B219=0,"",Obal!B219)</f>
        <v>Intelligent Cloud SMC New Customers</v>
      </c>
      <c r="E219" s="30">
        <f t="shared" ref="E219:N219" si="157">CalcProd2Seg2NewCustomers</f>
        <v>2503.4651284500005</v>
      </c>
      <c r="F219" s="30">
        <f t="shared" si="157"/>
        <v>2503.4651284500005</v>
      </c>
      <c r="G219" s="30">
        <f t="shared" si="157"/>
        <v>2503.4651284500005</v>
      </c>
      <c r="H219" s="30">
        <f t="shared" si="157"/>
        <v>2503.4651284500005</v>
      </c>
      <c r="I219" s="30">
        <f t="shared" si="157"/>
        <v>2503.4651284500005</v>
      </c>
      <c r="J219" s="30">
        <f t="shared" si="157"/>
        <v>2503.4651284500005</v>
      </c>
      <c r="K219" s="30">
        <f t="shared" si="157"/>
        <v>2503.4651284500005</v>
      </c>
      <c r="L219" s="30">
        <f t="shared" si="157"/>
        <v>2503.4651284500005</v>
      </c>
      <c r="M219" s="30">
        <f t="shared" si="157"/>
        <v>2503.4651284500005</v>
      </c>
      <c r="N219" s="30">
        <f t="shared" si="157"/>
        <v>2503.4651284500005</v>
      </c>
      <c r="O219" t="s">
        <v>1609</v>
      </c>
    </row>
    <row r="220" spans="1:15">
      <c r="A220" s="13" t="str">
        <f>IF(Obal!A220=0,"",Obal!A220)</f>
        <v/>
      </c>
      <c r="B220" s="272" t="str">
        <f>IF(Obal!B220=0,"",Obal!B220)</f>
        <v>Intelligent Cloud SMC Renewed Customers</v>
      </c>
      <c r="E220" s="30">
        <f t="shared" ref="E220:N220" si="158">CalcProd2Seg2RenewalCustomers</f>
        <v>1754.0711205826176</v>
      </c>
      <c r="F220" s="30">
        <f t="shared" si="158"/>
        <v>1754.0711205826176</v>
      </c>
      <c r="G220" s="30">
        <f t="shared" si="158"/>
        <v>1754.0711205826176</v>
      </c>
      <c r="H220" s="30">
        <f t="shared" si="158"/>
        <v>1754.0711205826176</v>
      </c>
      <c r="I220" s="30">
        <f t="shared" si="158"/>
        <v>1754.0711205826176</v>
      </c>
      <c r="J220" s="30">
        <f t="shared" si="158"/>
        <v>1754.0711205826176</v>
      </c>
      <c r="K220" s="30">
        <f t="shared" si="158"/>
        <v>1754.0711205826176</v>
      </c>
      <c r="L220" s="30">
        <f t="shared" si="158"/>
        <v>1754.0711205826176</v>
      </c>
      <c r="M220" s="30">
        <f t="shared" si="158"/>
        <v>1754.0711205826176</v>
      </c>
      <c r="N220" s="30">
        <f t="shared" si="158"/>
        <v>1754.0711205826176</v>
      </c>
      <c r="O220" t="s">
        <v>1610</v>
      </c>
    </row>
    <row r="221" spans="1:15">
      <c r="A221" s="13" t="str">
        <f>IF(Obal!A221=0,"",Obal!A221)</f>
        <v/>
      </c>
      <c r="B221" s="272" t="str">
        <f>IF(Obal!B221=0,"",Obal!B221)</f>
        <v>Intelligent Cloud SMC Total Customers</v>
      </c>
      <c r="E221" s="30">
        <f t="shared" ref="E221:N221" si="159">CalcProd2Seg2TotalCustomers</f>
        <v>4257.5362490326179</v>
      </c>
      <c r="F221" s="30">
        <f t="shared" si="159"/>
        <v>4257.5362490326179</v>
      </c>
      <c r="G221" s="30">
        <f t="shared" si="159"/>
        <v>4257.5362490326179</v>
      </c>
      <c r="H221" s="30">
        <f t="shared" si="159"/>
        <v>4257.5362490326179</v>
      </c>
      <c r="I221" s="30">
        <f t="shared" si="159"/>
        <v>4257.5362490326179</v>
      </c>
      <c r="J221" s="30">
        <f t="shared" si="159"/>
        <v>4257.5362490326179</v>
      </c>
      <c r="K221" s="30">
        <f t="shared" si="159"/>
        <v>4257.5362490326179</v>
      </c>
      <c r="L221" s="30">
        <f t="shared" si="159"/>
        <v>4257.5362490326179</v>
      </c>
      <c r="M221" s="30">
        <f t="shared" si="159"/>
        <v>4257.5362490326179</v>
      </c>
      <c r="N221" s="30">
        <f t="shared" si="159"/>
        <v>4257.5362490326179</v>
      </c>
      <c r="O221" t="s">
        <v>1611</v>
      </c>
    </row>
    <row r="222" spans="1:15">
      <c r="A222" s="13" t="str">
        <f>IF(Obal!A222=0,"",Obal!A222)</f>
        <v/>
      </c>
      <c r="B222" s="272" t="str">
        <f>IF(Obal!B222=0,"",Obal!B222)</f>
        <v/>
      </c>
      <c r="E222" s="30"/>
      <c r="F222" s="30"/>
      <c r="G222" s="30"/>
      <c r="H222" s="30"/>
      <c r="I222" s="30"/>
      <c r="J222" s="30"/>
      <c r="K222" s="30"/>
      <c r="L222" s="30"/>
      <c r="M222" s="30"/>
      <c r="N222" s="30"/>
    </row>
    <row r="223" spans="1:15">
      <c r="A223" s="13" t="str">
        <f>IF(Obal!A223=0,"",Obal!A223)</f>
        <v>Deferred Revenue Balances</v>
      </c>
      <c r="B223" s="272" t="str">
        <f>IF(Obal!B223=0,"",Obal!B223)</f>
        <v/>
      </c>
      <c r="E223" s="30"/>
      <c r="F223" s="30"/>
      <c r="G223" s="30"/>
      <c r="H223" s="30"/>
      <c r="I223" s="30"/>
      <c r="J223" s="30"/>
      <c r="K223" s="30"/>
      <c r="L223" s="30"/>
      <c r="M223" s="30"/>
      <c r="N223" s="30"/>
    </row>
    <row r="224" spans="1:15">
      <c r="A224" s="13" t="str">
        <f>IF(Obal!A224=0,"",Obal!A224)</f>
        <v/>
      </c>
      <c r="B224" s="272" t="str">
        <f>IF(Obal!B224=0,"",Obal!B224)</f>
        <v>Productivity &amp; Business Enterprise</v>
      </c>
      <c r="E224" s="496">
        <f t="shared" ref="E224:N224" si="160">CalcProd1Seg1DefRev</f>
        <v>43748675.786418959</v>
      </c>
      <c r="F224" s="496">
        <f t="shared" si="160"/>
        <v>43748675.786418959</v>
      </c>
      <c r="G224" s="496">
        <f t="shared" si="160"/>
        <v>43748675.786418959</v>
      </c>
      <c r="H224" s="496">
        <f t="shared" si="160"/>
        <v>43748675.786418959</v>
      </c>
      <c r="I224" s="496">
        <f t="shared" si="160"/>
        <v>43748675.786418959</v>
      </c>
      <c r="J224" s="496">
        <f t="shared" si="160"/>
        <v>43748675.786418959</v>
      </c>
      <c r="K224" s="496">
        <f t="shared" si="160"/>
        <v>43748675.786418959</v>
      </c>
      <c r="L224" s="496">
        <f t="shared" si="160"/>
        <v>43748675.786418959</v>
      </c>
      <c r="M224" s="496">
        <f t="shared" si="160"/>
        <v>43748675.786418959</v>
      </c>
      <c r="N224" s="496">
        <f t="shared" si="160"/>
        <v>43748675.786418959</v>
      </c>
      <c r="O224" t="s">
        <v>1513</v>
      </c>
    </row>
    <row r="225" spans="1:15">
      <c r="A225" s="13" t="str">
        <f>IF(Obal!A225=0,"",Obal!A225)</f>
        <v/>
      </c>
      <c r="B225" s="272" t="str">
        <f>IF(Obal!B225=0,"",Obal!B225)</f>
        <v>Productivity &amp; Business SMC</v>
      </c>
      <c r="E225" s="496">
        <f t="shared" ref="E225:N225" si="161">CalcProd1Seg2DefRev</f>
        <v>28021789.06541146</v>
      </c>
      <c r="F225" s="496">
        <f t="shared" si="161"/>
        <v>28021789.06541146</v>
      </c>
      <c r="G225" s="496">
        <f t="shared" si="161"/>
        <v>28021789.06541146</v>
      </c>
      <c r="H225" s="496">
        <f t="shared" si="161"/>
        <v>28021789.06541146</v>
      </c>
      <c r="I225" s="496">
        <f t="shared" si="161"/>
        <v>28021789.06541146</v>
      </c>
      <c r="J225" s="496">
        <f t="shared" si="161"/>
        <v>28021789.06541146</v>
      </c>
      <c r="K225" s="496">
        <f t="shared" si="161"/>
        <v>28021789.06541146</v>
      </c>
      <c r="L225" s="496">
        <f t="shared" si="161"/>
        <v>28021789.06541146</v>
      </c>
      <c r="M225" s="496">
        <f t="shared" si="161"/>
        <v>28021789.06541146</v>
      </c>
      <c r="N225" s="496">
        <f t="shared" si="161"/>
        <v>28021789.06541146</v>
      </c>
      <c r="O225" t="s">
        <v>1514</v>
      </c>
    </row>
    <row r="226" spans="1:15">
      <c r="A226" s="13" t="str">
        <f>IF(Obal!A226=0,"",Obal!A226)</f>
        <v/>
      </c>
      <c r="B226" s="272" t="str">
        <f>IF(Obal!B226=0,"",Obal!B226)</f>
        <v>Productivity &amp; Business Consumer</v>
      </c>
      <c r="E226" s="496">
        <f t="shared" ref="E226:N226" si="162">CalcProd1Seg3DefRev</f>
        <v>53816534.593673319</v>
      </c>
      <c r="F226" s="496">
        <f t="shared" si="162"/>
        <v>53816534.593673319</v>
      </c>
      <c r="G226" s="496">
        <f t="shared" si="162"/>
        <v>53816534.593673319</v>
      </c>
      <c r="H226" s="496">
        <f t="shared" si="162"/>
        <v>53816534.593673319</v>
      </c>
      <c r="I226" s="496">
        <f t="shared" si="162"/>
        <v>53816534.593673319</v>
      </c>
      <c r="J226" s="496">
        <f t="shared" si="162"/>
        <v>53816534.593673319</v>
      </c>
      <c r="K226" s="496">
        <f t="shared" si="162"/>
        <v>53816534.593673319</v>
      </c>
      <c r="L226" s="496">
        <f t="shared" si="162"/>
        <v>53816534.593673319</v>
      </c>
      <c r="M226" s="496">
        <f t="shared" si="162"/>
        <v>53816534.593673319</v>
      </c>
      <c r="N226" s="496">
        <f t="shared" si="162"/>
        <v>53816534.593673319</v>
      </c>
      <c r="O226" t="s">
        <v>1515</v>
      </c>
    </row>
    <row r="227" spans="1:15">
      <c r="A227" s="13" t="str">
        <f>IF(Obal!A227=0,"",Obal!A227)</f>
        <v/>
      </c>
      <c r="B227" s="272" t="str">
        <f>IF(Obal!B227=0,"",Obal!B227)</f>
        <v/>
      </c>
      <c r="E227" s="30"/>
      <c r="F227" s="30"/>
      <c r="G227" s="30"/>
      <c r="H227" s="30"/>
      <c r="I227" s="30"/>
      <c r="J227" s="30"/>
      <c r="K227" s="30"/>
      <c r="L227" s="30"/>
      <c r="M227" s="30"/>
      <c r="N227" s="30"/>
    </row>
    <row r="228" spans="1:15">
      <c r="A228" s="13" t="str">
        <f>IF(Obal!A228=0,"",Obal!A228)</f>
        <v/>
      </c>
      <c r="B228" s="272" t="str">
        <f>IF(Obal!B228=0,"",Obal!B228)</f>
        <v>Intelligent Cloud Enterprise</v>
      </c>
      <c r="E228" s="496">
        <f t="shared" ref="E228:N228" si="163">CalcProd2Seg1DefRev</f>
        <v>80962685.571301192</v>
      </c>
      <c r="F228" s="496">
        <f t="shared" si="163"/>
        <v>80962685.571301192</v>
      </c>
      <c r="G228" s="496">
        <f t="shared" si="163"/>
        <v>80962685.571301192</v>
      </c>
      <c r="H228" s="496">
        <f t="shared" si="163"/>
        <v>80962685.571301192</v>
      </c>
      <c r="I228" s="496">
        <f t="shared" si="163"/>
        <v>80962685.571301192</v>
      </c>
      <c r="J228" s="496">
        <f t="shared" si="163"/>
        <v>80962685.571301192</v>
      </c>
      <c r="K228" s="496">
        <f t="shared" si="163"/>
        <v>80962685.571301192</v>
      </c>
      <c r="L228" s="496">
        <f t="shared" si="163"/>
        <v>80962685.571301192</v>
      </c>
      <c r="M228" s="496">
        <f t="shared" si="163"/>
        <v>80962685.571301192</v>
      </c>
      <c r="N228" s="496">
        <f t="shared" si="163"/>
        <v>80962685.571301192</v>
      </c>
      <c r="O228" t="s">
        <v>1516</v>
      </c>
    </row>
    <row r="229" spans="1:15">
      <c r="A229" s="13" t="str">
        <f>IF(Obal!A229=0,"",Obal!A229)</f>
        <v/>
      </c>
      <c r="B229" s="272" t="str">
        <f>IF(Obal!B229=0,"",Obal!B229)</f>
        <v>Intelligent Cloud SMC</v>
      </c>
      <c r="E229" s="496">
        <f t="shared" ref="E229:N229" si="164">CalcProd2Seg2DefRev</f>
        <v>106438406.22581545</v>
      </c>
      <c r="F229" s="496">
        <f t="shared" si="164"/>
        <v>106438406.22581545</v>
      </c>
      <c r="G229" s="496">
        <f t="shared" si="164"/>
        <v>106438406.22581545</v>
      </c>
      <c r="H229" s="496">
        <f t="shared" si="164"/>
        <v>106438406.22581545</v>
      </c>
      <c r="I229" s="496">
        <f t="shared" si="164"/>
        <v>106438406.22581545</v>
      </c>
      <c r="J229" s="496">
        <f t="shared" si="164"/>
        <v>106438406.22581545</v>
      </c>
      <c r="K229" s="496">
        <f t="shared" si="164"/>
        <v>106438406.22581545</v>
      </c>
      <c r="L229" s="496">
        <f t="shared" si="164"/>
        <v>106438406.22581545</v>
      </c>
      <c r="M229" s="496">
        <f t="shared" si="164"/>
        <v>106438406.22581545</v>
      </c>
      <c r="N229" s="496">
        <f t="shared" si="164"/>
        <v>106438406.22581545</v>
      </c>
      <c r="O229" t="s">
        <v>1517</v>
      </c>
    </row>
    <row r="230" spans="1:15">
      <c r="A230" s="13" t="str">
        <f>IF(Obal!A306=0,"",Obal!A306)</f>
        <v/>
      </c>
      <c r="B230" s="272" t="str">
        <f>IF(Obal!B230=0,"",Obal!B230)</f>
        <v/>
      </c>
    </row>
    <row r="231" spans="1:15">
      <c r="A231" s="13" t="str">
        <f>IF(Obal!A231=0,"",Obal!A231)</f>
        <v>Services Attach Rates</v>
      </c>
      <c r="B231" s="272" t="str">
        <f>IF(Obal!B231=0,"",Obal!B231)</f>
        <v/>
      </c>
      <c r="E231" s="30"/>
      <c r="F231" s="30"/>
      <c r="G231" s="30"/>
      <c r="H231" s="30"/>
      <c r="I231" s="30"/>
      <c r="J231" s="30"/>
      <c r="K231" s="30"/>
      <c r="L231" s="30"/>
      <c r="M231" s="30"/>
      <c r="N231" s="30"/>
    </row>
    <row r="232" spans="1:15">
      <c r="A232" s="13" t="str">
        <f>IF(Obal!A232=0,"",Obal!A232)</f>
        <v/>
      </c>
      <c r="B232" s="272" t="str">
        <f>IF(Obal!B232=0,"",Obal!B232)</f>
        <v>Productivity &amp; Business Enterprise</v>
      </c>
      <c r="E232" s="476">
        <f t="shared" ref="E232:N232" si="165">calcServicesProd1Seg1Attach</f>
        <v>0.39</v>
      </c>
      <c r="F232" s="476">
        <f t="shared" si="165"/>
        <v>0.39</v>
      </c>
      <c r="G232" s="476">
        <f t="shared" si="165"/>
        <v>0.39</v>
      </c>
      <c r="H232" s="476">
        <f t="shared" si="165"/>
        <v>0.39</v>
      </c>
      <c r="I232" s="476">
        <f t="shared" si="165"/>
        <v>0.39</v>
      </c>
      <c r="J232" s="476">
        <f t="shared" si="165"/>
        <v>0.39</v>
      </c>
      <c r="K232" s="476">
        <f t="shared" si="165"/>
        <v>0.39</v>
      </c>
      <c r="L232" s="476">
        <f t="shared" si="165"/>
        <v>0.39</v>
      </c>
      <c r="M232" s="476">
        <f t="shared" si="165"/>
        <v>0.39</v>
      </c>
      <c r="N232" s="476">
        <f t="shared" si="165"/>
        <v>0.39</v>
      </c>
      <c r="O232" s="578" t="s">
        <v>1674</v>
      </c>
    </row>
    <row r="233" spans="1:15">
      <c r="A233" s="13" t="str">
        <f>IF(Obal!A233=0,"",Obal!A233)</f>
        <v/>
      </c>
      <c r="B233" s="272" t="str">
        <f>IF(Obal!B233=0,"",Obal!B233)</f>
        <v>Productivity &amp; Business SMC</v>
      </c>
      <c r="E233" s="476">
        <f t="shared" ref="E233:N233" si="166">calcServicesProd1Seg2Attach</f>
        <v>7.0000000000000007E-2</v>
      </c>
      <c r="F233" s="476">
        <f t="shared" si="166"/>
        <v>7.0000000000000007E-2</v>
      </c>
      <c r="G233" s="476">
        <f t="shared" si="166"/>
        <v>7.0000000000000007E-2</v>
      </c>
      <c r="H233" s="476">
        <f t="shared" si="166"/>
        <v>7.0000000000000007E-2</v>
      </c>
      <c r="I233" s="476">
        <f t="shared" si="166"/>
        <v>7.0000000000000007E-2</v>
      </c>
      <c r="J233" s="476">
        <f t="shared" si="166"/>
        <v>7.0000000000000007E-2</v>
      </c>
      <c r="K233" s="476">
        <f t="shared" si="166"/>
        <v>7.0000000000000007E-2</v>
      </c>
      <c r="L233" s="476">
        <f t="shared" si="166"/>
        <v>7.0000000000000007E-2</v>
      </c>
      <c r="M233" s="476">
        <f t="shared" si="166"/>
        <v>7.0000000000000007E-2</v>
      </c>
      <c r="N233" s="476">
        <f t="shared" si="166"/>
        <v>7.0000000000000007E-2</v>
      </c>
      <c r="O233" s="578" t="s">
        <v>1675</v>
      </c>
    </row>
    <row r="234" spans="1:15">
      <c r="A234" s="13" t="str">
        <f>IF(Obal!A234=0,"",Obal!A234)</f>
        <v/>
      </c>
      <c r="B234" s="272" t="str">
        <f>IF(Obal!B234=0,"",Obal!B234)</f>
        <v/>
      </c>
      <c r="E234" s="496"/>
      <c r="F234" s="496"/>
      <c r="G234" s="496"/>
      <c r="H234" s="496"/>
      <c r="I234" s="496"/>
      <c r="J234" s="496"/>
      <c r="K234" s="496"/>
      <c r="L234" s="496"/>
      <c r="M234" s="496"/>
      <c r="N234" s="496"/>
      <c r="O234" s="497"/>
    </row>
    <row r="235" spans="1:15">
      <c r="A235" s="13" t="str">
        <f>IF(Obal!A235=0,"",Obal!A235)</f>
        <v/>
      </c>
      <c r="B235" s="272" t="str">
        <f>IF(Obal!B235=0,"",Obal!B235)</f>
        <v>Intelligent Cloud Enterprise</v>
      </c>
      <c r="E235" s="476">
        <f t="shared" ref="E235:N235" si="167">calcServicesProd2Seg1Attach</f>
        <v>0.6</v>
      </c>
      <c r="F235" s="476">
        <f t="shared" si="167"/>
        <v>0.6</v>
      </c>
      <c r="G235" s="476">
        <f t="shared" si="167"/>
        <v>0.6</v>
      </c>
      <c r="H235" s="476">
        <f t="shared" si="167"/>
        <v>0.6</v>
      </c>
      <c r="I235" s="476">
        <f t="shared" si="167"/>
        <v>0.6</v>
      </c>
      <c r="J235" s="476">
        <f t="shared" si="167"/>
        <v>0.6</v>
      </c>
      <c r="K235" s="476">
        <f t="shared" si="167"/>
        <v>0.6</v>
      </c>
      <c r="L235" s="476">
        <f t="shared" si="167"/>
        <v>0.6</v>
      </c>
      <c r="M235" s="476">
        <f t="shared" si="167"/>
        <v>0.6</v>
      </c>
      <c r="N235" s="476">
        <f t="shared" si="167"/>
        <v>0.6</v>
      </c>
      <c r="O235" s="578" t="s">
        <v>1676</v>
      </c>
    </row>
    <row r="236" spans="1:15">
      <c r="A236" s="13" t="str">
        <f>IF(Obal!A236=0,"",Obal!A236)</f>
        <v/>
      </c>
      <c r="B236" s="272" t="str">
        <f>IF(Obal!B236=0,"",Obal!B236)</f>
        <v>Intelligent Cloud SMC</v>
      </c>
      <c r="E236" s="476">
        <f t="shared" ref="E236:N236" si="168">calcServicesProd2Seg2Attach</f>
        <v>0.11</v>
      </c>
      <c r="F236" s="476">
        <f t="shared" si="168"/>
        <v>0.11</v>
      </c>
      <c r="G236" s="476">
        <f t="shared" si="168"/>
        <v>0.11</v>
      </c>
      <c r="H236" s="476">
        <f t="shared" si="168"/>
        <v>0.11</v>
      </c>
      <c r="I236" s="476">
        <f t="shared" si="168"/>
        <v>0.11</v>
      </c>
      <c r="J236" s="476">
        <f t="shared" si="168"/>
        <v>0.11</v>
      </c>
      <c r="K236" s="476">
        <f t="shared" si="168"/>
        <v>0.11</v>
      </c>
      <c r="L236" s="476">
        <f t="shared" si="168"/>
        <v>0.11</v>
      </c>
      <c r="M236" s="476">
        <f t="shared" si="168"/>
        <v>0.11</v>
      </c>
      <c r="N236" s="476">
        <f t="shared" si="168"/>
        <v>0.11</v>
      </c>
      <c r="O236" s="578" t="s">
        <v>1677</v>
      </c>
    </row>
    <row r="237" spans="1:15">
      <c r="A237" s="13" t="str">
        <f>IF(Obal!A237=0,"",Obal!A237)</f>
        <v/>
      </c>
      <c r="B237" s="272" t="str">
        <f>IF(Obal!B237=0,"",Obal!B237)</f>
        <v/>
      </c>
      <c r="O237" s="497"/>
    </row>
    <row r="238" spans="1:15">
      <c r="A238" s="13" t="str">
        <f>IF(Obal!A238=0,"",Obal!A238)</f>
        <v>Services Renewal Rates</v>
      </c>
      <c r="B238" s="272" t="str">
        <f>IF(Obal!B238=0,"",Obal!B238)</f>
        <v/>
      </c>
      <c r="O238" s="497"/>
    </row>
    <row r="239" spans="1:15">
      <c r="A239" s="13" t="str">
        <f>IF(Obal!A239=0,"",Obal!A239)</f>
        <v/>
      </c>
      <c r="B239" s="272" t="str">
        <f>IF(Obal!B239=0,"",Obal!B239)</f>
        <v>Productivity &amp; Business Enterprise</v>
      </c>
      <c r="E239" s="476">
        <f t="shared" ref="E239:N239" si="169">calcServicesProd1Seg1Renewal</f>
        <v>0.74</v>
      </c>
      <c r="F239" s="476">
        <f t="shared" si="169"/>
        <v>0.74</v>
      </c>
      <c r="G239" s="476">
        <f t="shared" si="169"/>
        <v>0.74</v>
      </c>
      <c r="H239" s="476">
        <f t="shared" si="169"/>
        <v>0.74</v>
      </c>
      <c r="I239" s="476">
        <f t="shared" si="169"/>
        <v>0.74</v>
      </c>
      <c r="J239" s="476">
        <f t="shared" si="169"/>
        <v>0.74</v>
      </c>
      <c r="K239" s="476">
        <f t="shared" si="169"/>
        <v>0.74</v>
      </c>
      <c r="L239" s="476">
        <f t="shared" si="169"/>
        <v>0.74</v>
      </c>
      <c r="M239" s="476">
        <f t="shared" si="169"/>
        <v>0.74</v>
      </c>
      <c r="N239" s="476">
        <f t="shared" si="169"/>
        <v>0.74</v>
      </c>
      <c r="O239" s="578" t="s">
        <v>1678</v>
      </c>
    </row>
    <row r="240" spans="1:15">
      <c r="A240" s="13" t="str">
        <f>IF(Obal!A240=0,"",Obal!A240)</f>
        <v/>
      </c>
      <c r="B240" s="272" t="str">
        <f>IF(Obal!B240=0,"",Obal!B240)</f>
        <v>Productivity &amp; Business SMC</v>
      </c>
      <c r="E240" s="476">
        <f t="shared" ref="E240:N240" si="170">calcServicesProd1Seg2Renewal</f>
        <v>0.45999999999999996</v>
      </c>
      <c r="F240" s="476">
        <f t="shared" si="170"/>
        <v>0.45999999999999996</v>
      </c>
      <c r="G240" s="476">
        <f t="shared" si="170"/>
        <v>0.45999999999999996</v>
      </c>
      <c r="H240" s="476">
        <f t="shared" si="170"/>
        <v>0.45999999999999996</v>
      </c>
      <c r="I240" s="476">
        <f t="shared" si="170"/>
        <v>0.45999999999999996</v>
      </c>
      <c r="J240" s="476">
        <f t="shared" si="170"/>
        <v>0.45999999999999996</v>
      </c>
      <c r="K240" s="476">
        <f t="shared" si="170"/>
        <v>0.45999999999999996</v>
      </c>
      <c r="L240" s="476">
        <f t="shared" si="170"/>
        <v>0.45999999999999996</v>
      </c>
      <c r="M240" s="476">
        <f t="shared" si="170"/>
        <v>0.45999999999999996</v>
      </c>
      <c r="N240" s="476">
        <f t="shared" si="170"/>
        <v>0.45999999999999996</v>
      </c>
      <c r="O240" s="578" t="s">
        <v>1679</v>
      </c>
    </row>
    <row r="241" spans="1:15">
      <c r="A241" s="13" t="str">
        <f>IF(Obal!A241=0,"",Obal!A241)</f>
        <v/>
      </c>
      <c r="B241" s="272" t="str">
        <f>IF(Obal!B241=0,"",Obal!B241)</f>
        <v/>
      </c>
      <c r="E241" s="476"/>
      <c r="F241" s="476"/>
      <c r="G241" s="476"/>
      <c r="H241" s="476"/>
      <c r="I241" s="476"/>
      <c r="J241" s="476"/>
      <c r="K241" s="476"/>
      <c r="L241" s="476"/>
      <c r="M241" s="476"/>
      <c r="N241" s="476"/>
      <c r="O241" s="497"/>
    </row>
    <row r="242" spans="1:15">
      <c r="A242" s="13" t="str">
        <f>IF(Obal!A242=0,"",Obal!A242)</f>
        <v/>
      </c>
      <c r="B242" s="272" t="str">
        <f>IF(Obal!B242=0,"",Obal!B242)</f>
        <v>Intelligent Cloud Enterprise</v>
      </c>
      <c r="E242" s="476">
        <f t="shared" ref="E242:N242" si="171">calcServicesProd2Seg1Renewal</f>
        <v>0.79</v>
      </c>
      <c r="F242" s="476">
        <f t="shared" si="171"/>
        <v>0.79</v>
      </c>
      <c r="G242" s="476">
        <f t="shared" si="171"/>
        <v>0.79</v>
      </c>
      <c r="H242" s="476">
        <f t="shared" si="171"/>
        <v>0.79</v>
      </c>
      <c r="I242" s="476">
        <f t="shared" si="171"/>
        <v>0.79</v>
      </c>
      <c r="J242" s="476">
        <f t="shared" si="171"/>
        <v>0.79</v>
      </c>
      <c r="K242" s="476">
        <f t="shared" si="171"/>
        <v>0.79</v>
      </c>
      <c r="L242" s="476">
        <f t="shared" si="171"/>
        <v>0.79</v>
      </c>
      <c r="M242" s="476">
        <f t="shared" si="171"/>
        <v>0.79</v>
      </c>
      <c r="N242" s="476">
        <f t="shared" si="171"/>
        <v>0.79</v>
      </c>
      <c r="O242" s="578" t="s">
        <v>1680</v>
      </c>
    </row>
    <row r="243" spans="1:15">
      <c r="A243" s="13" t="str">
        <f>IF(Obal!A243=0,"",Obal!A243)</f>
        <v/>
      </c>
      <c r="B243" s="272" t="str">
        <f>IF(Obal!B243=0,"",Obal!B243)</f>
        <v>Intelligent Cloud SMC</v>
      </c>
      <c r="E243" s="476">
        <f t="shared" ref="E243:N243" si="172">calcServicesProd2Seg2Renewal</f>
        <v>0.49</v>
      </c>
      <c r="F243" s="476">
        <f t="shared" si="172"/>
        <v>0.49</v>
      </c>
      <c r="G243" s="476">
        <f t="shared" si="172"/>
        <v>0.49</v>
      </c>
      <c r="H243" s="476">
        <f t="shared" si="172"/>
        <v>0.49</v>
      </c>
      <c r="I243" s="476">
        <f t="shared" si="172"/>
        <v>0.49</v>
      </c>
      <c r="J243" s="476">
        <f t="shared" si="172"/>
        <v>0.49</v>
      </c>
      <c r="K243" s="476">
        <f t="shared" si="172"/>
        <v>0.49</v>
      </c>
      <c r="L243" s="476">
        <f t="shared" si="172"/>
        <v>0.49</v>
      </c>
      <c r="M243" s="476">
        <f t="shared" si="172"/>
        <v>0.49</v>
      </c>
      <c r="N243" s="476">
        <f t="shared" si="172"/>
        <v>0.49</v>
      </c>
      <c r="O243" s="578" t="s">
        <v>1681</v>
      </c>
    </row>
    <row r="244" spans="1:15">
      <c r="A244" s="13" t="str">
        <f>IF(Obal!A244=0,"",Obal!A244)</f>
        <v/>
      </c>
      <c r="B244" s="272" t="str">
        <f>IF(Obal!B244=0,"",Obal!B244)</f>
        <v/>
      </c>
      <c r="O244" s="497"/>
    </row>
    <row r="245" spans="1:15">
      <c r="A245" s="13" t="str">
        <f>IF(Obal!A245=0,"",Obal!A245)</f>
        <v>Customer Success</v>
      </c>
      <c r="B245" s="272" t="str">
        <f>IF(Obal!B245=0,"",Obal!B245)</f>
        <v/>
      </c>
      <c r="O245" s="497"/>
    </row>
    <row r="246" spans="1:15">
      <c r="A246" s="13" t="str">
        <f>IF(Obal!A246=0,"",Obal!A246)</f>
        <v/>
      </c>
      <c r="B246" s="272" t="str">
        <f>IF(Obal!B246=0,"",Obal!B246)</f>
        <v>Revenue</v>
      </c>
      <c r="E246" s="477">
        <f t="shared" ref="E246:N246" si="173">calcCustSuccessRev</f>
        <v>98.429999999999993</v>
      </c>
      <c r="F246" s="477">
        <f t="shared" si="173"/>
        <v>98.429999999999993</v>
      </c>
      <c r="G246" s="477">
        <f t="shared" si="173"/>
        <v>98.429999999999993</v>
      </c>
      <c r="H246" s="477">
        <f t="shared" si="173"/>
        <v>98.429999999999993</v>
      </c>
      <c r="I246" s="477">
        <f t="shared" si="173"/>
        <v>98.429999999999993</v>
      </c>
      <c r="J246" s="477">
        <f t="shared" si="173"/>
        <v>98.429999999999993</v>
      </c>
      <c r="K246" s="477">
        <f t="shared" si="173"/>
        <v>98.429999999999993</v>
      </c>
      <c r="L246" s="477">
        <f t="shared" si="173"/>
        <v>98.429999999999993</v>
      </c>
      <c r="M246" s="477">
        <f t="shared" si="173"/>
        <v>98.429999999999993</v>
      </c>
      <c r="N246" s="477">
        <f t="shared" si="173"/>
        <v>98.429999999999993</v>
      </c>
      <c r="O246" s="578" t="s">
        <v>1720</v>
      </c>
    </row>
    <row r="247" spans="1:15">
      <c r="A247" s="13" t="str">
        <f>IF(Obal!A247=0,"",Obal!A247)</f>
        <v/>
      </c>
      <c r="B247" s="272" t="str">
        <f>IF(Obal!B247=0,"",Obal!B247)</f>
        <v>Op. Margin</v>
      </c>
      <c r="E247" s="477">
        <f t="shared" ref="E247:N247" si="174">calcCustSuccessOpMargin</f>
        <v>91.679999999999993</v>
      </c>
      <c r="F247" s="477">
        <f t="shared" si="174"/>
        <v>91.679999999999993</v>
      </c>
      <c r="G247" s="477">
        <f t="shared" si="174"/>
        <v>91.679999999999993</v>
      </c>
      <c r="H247" s="477">
        <f t="shared" si="174"/>
        <v>91.679999999999993</v>
      </c>
      <c r="I247" s="477">
        <f t="shared" si="174"/>
        <v>91.679999999999993</v>
      </c>
      <c r="J247" s="477">
        <f t="shared" si="174"/>
        <v>91.679999999999993</v>
      </c>
      <c r="K247" s="477">
        <f t="shared" si="174"/>
        <v>91.679999999999993</v>
      </c>
      <c r="L247" s="477">
        <f t="shared" si="174"/>
        <v>91.679999999999993</v>
      </c>
      <c r="M247" s="477">
        <f t="shared" si="174"/>
        <v>91.679999999999993</v>
      </c>
      <c r="N247" s="477">
        <f t="shared" si="174"/>
        <v>91.679999999999993</v>
      </c>
      <c r="O247" s="578" t="s">
        <v>1721</v>
      </c>
    </row>
    <row r="248" spans="1:15">
      <c r="A248" s="13" t="str">
        <f>IF(Obal!A248=0,"",Obal!A248)</f>
        <v/>
      </c>
      <c r="B248" s="272" t="str">
        <f>IF(Obal!B248=0,"",Obal!B248)</f>
        <v>CSAT</v>
      </c>
      <c r="E248" s="477">
        <f t="shared" ref="E248:N248" si="175">calcCustSuccessCSAT</f>
        <v>93.929999999999993</v>
      </c>
      <c r="F248" s="477">
        <f t="shared" si="175"/>
        <v>93.929999999999993</v>
      </c>
      <c r="G248" s="477">
        <f t="shared" si="175"/>
        <v>93.929999999999993</v>
      </c>
      <c r="H248" s="477">
        <f t="shared" si="175"/>
        <v>93.929999999999993</v>
      </c>
      <c r="I248" s="477">
        <f t="shared" si="175"/>
        <v>93.929999999999993</v>
      </c>
      <c r="J248" s="477">
        <f t="shared" si="175"/>
        <v>93.929999999999993</v>
      </c>
      <c r="K248" s="477">
        <f t="shared" si="175"/>
        <v>93.929999999999993</v>
      </c>
      <c r="L248" s="477">
        <f t="shared" si="175"/>
        <v>93.929999999999993</v>
      </c>
      <c r="M248" s="477">
        <f t="shared" si="175"/>
        <v>93.929999999999993</v>
      </c>
      <c r="N248" s="477">
        <f t="shared" si="175"/>
        <v>93.929999999999993</v>
      </c>
      <c r="O248" s="578" t="s">
        <v>1722</v>
      </c>
    </row>
    <row r="249" spans="1:15">
      <c r="A249" s="13" t="str">
        <f>IF(Obal!A249=0,"",Obal!A249)</f>
        <v/>
      </c>
      <c r="B249" s="272" t="str">
        <f>IF(Obal!B249=0,"",Obal!B249)</f>
        <v>EE</v>
      </c>
      <c r="E249" s="477">
        <f t="shared" ref="E249:N249" si="176">calcCustSuccessEE</f>
        <v>96.179999999999993</v>
      </c>
      <c r="F249" s="477">
        <f t="shared" si="176"/>
        <v>96.179999999999993</v>
      </c>
      <c r="G249" s="477">
        <f t="shared" si="176"/>
        <v>96.179999999999993</v>
      </c>
      <c r="H249" s="477">
        <f t="shared" si="176"/>
        <v>96.179999999999993</v>
      </c>
      <c r="I249" s="477">
        <f t="shared" si="176"/>
        <v>96.179999999999993</v>
      </c>
      <c r="J249" s="477">
        <f t="shared" si="176"/>
        <v>96.179999999999993</v>
      </c>
      <c r="K249" s="477">
        <f t="shared" si="176"/>
        <v>96.179999999999993</v>
      </c>
      <c r="L249" s="477">
        <f t="shared" si="176"/>
        <v>96.179999999999993</v>
      </c>
      <c r="M249" s="477">
        <f t="shared" si="176"/>
        <v>96.179999999999993</v>
      </c>
      <c r="N249" s="477">
        <f t="shared" si="176"/>
        <v>96.179999999999993</v>
      </c>
      <c r="O249" s="578" t="s">
        <v>1723</v>
      </c>
    </row>
    <row r="250" spans="1:15">
      <c r="A250" s="13" t="str">
        <f>IF(Obal!A250=0,"",Obal!A250)</f>
        <v/>
      </c>
      <c r="B250" s="272" t="str">
        <f>IF(Obal!B250=0,"",Obal!B250)</f>
        <v>Customer Success</v>
      </c>
      <c r="E250" s="477">
        <f t="shared" ref="E250:N250" si="177">calcCustSuccess</f>
        <v>95.054999999999993</v>
      </c>
      <c r="F250" s="477">
        <f t="shared" si="177"/>
        <v>95.054999999999993</v>
      </c>
      <c r="G250" s="477">
        <f t="shared" si="177"/>
        <v>95.054999999999993</v>
      </c>
      <c r="H250" s="477">
        <f t="shared" si="177"/>
        <v>95.054999999999993</v>
      </c>
      <c r="I250" s="477">
        <f t="shared" si="177"/>
        <v>95.054999999999993</v>
      </c>
      <c r="J250" s="477">
        <f t="shared" si="177"/>
        <v>95.054999999999993</v>
      </c>
      <c r="K250" s="477">
        <f t="shared" si="177"/>
        <v>95.054999999999993</v>
      </c>
      <c r="L250" s="477">
        <f t="shared" si="177"/>
        <v>95.054999999999993</v>
      </c>
      <c r="M250" s="477">
        <f t="shared" si="177"/>
        <v>95.054999999999993</v>
      </c>
      <c r="N250" s="477">
        <f t="shared" si="177"/>
        <v>95.054999999999993</v>
      </c>
      <c r="O250" s="578" t="s">
        <v>1724</v>
      </c>
    </row>
    <row r="251" spans="1:15">
      <c r="A251" s="13" t="str">
        <f>IF(Obal!A251=0,"",Obal!A251)</f>
        <v/>
      </c>
      <c r="B251" s="272" t="str">
        <f>IF(Obal!B251=0,"",Obal!B251)</f>
        <v/>
      </c>
      <c r="O251" s="497"/>
    </row>
    <row r="252" spans="1:15">
      <c r="A252" s="13" t="str">
        <f>IF(Obal!A252=0,"",Obal!A252)</f>
        <v>Customer Lifetime Value</v>
      </c>
      <c r="B252" s="272" t="str">
        <f>IF(Obal!B252=0,"",Obal!B252)</f>
        <v/>
      </c>
      <c r="O252" s="497"/>
    </row>
    <row r="253" spans="1:15">
      <c r="A253" s="13" t="str">
        <f>IF(Obal!A253=0,"",Obal!A253)</f>
        <v/>
      </c>
      <c r="B253" s="272" t="str">
        <f>IF(Obal!B253=0,"",Obal!B253)</f>
        <v>Productivity &amp; Business</v>
      </c>
      <c r="E253" s="496">
        <f t="shared" ref="E253:N253" si="178">calcProd1TotalCLV</f>
        <v>753527119.56648958</v>
      </c>
      <c r="F253" s="496">
        <f t="shared" si="178"/>
        <v>753527119.56648958</v>
      </c>
      <c r="G253" s="496">
        <f t="shared" si="178"/>
        <v>753527119.56648958</v>
      </c>
      <c r="H253" s="496">
        <f t="shared" si="178"/>
        <v>753527119.56648958</v>
      </c>
      <c r="I253" s="496">
        <f t="shared" si="178"/>
        <v>753527119.56648958</v>
      </c>
      <c r="J253" s="496">
        <f t="shared" si="178"/>
        <v>753527119.56648958</v>
      </c>
      <c r="K253" s="496">
        <f t="shared" si="178"/>
        <v>753527119.56648958</v>
      </c>
      <c r="L253" s="496">
        <f t="shared" si="178"/>
        <v>753527119.56648958</v>
      </c>
      <c r="M253" s="496">
        <f t="shared" si="178"/>
        <v>753527119.56648958</v>
      </c>
      <c r="N253" s="496">
        <f t="shared" si="178"/>
        <v>753527119.56648958</v>
      </c>
      <c r="O253" s="578" t="s">
        <v>2088</v>
      </c>
    </row>
    <row r="254" spans="1:15">
      <c r="A254" s="13" t="str">
        <f>IF(Obal!A254=0,"",Obal!A254)</f>
        <v/>
      </c>
      <c r="B254" s="272" t="str">
        <f>IF(Obal!B254=0,"",Obal!B254)</f>
        <v>Intelligent Cloud</v>
      </c>
      <c r="E254" s="496">
        <f t="shared" ref="E254:N254" si="179">calcProd2TotalCLV</f>
        <v>683291979.58733797</v>
      </c>
      <c r="F254" s="496">
        <f t="shared" si="179"/>
        <v>683291979.58733797</v>
      </c>
      <c r="G254" s="496">
        <f t="shared" si="179"/>
        <v>683291979.58733797</v>
      </c>
      <c r="H254" s="496">
        <f t="shared" si="179"/>
        <v>683291979.58733797</v>
      </c>
      <c r="I254" s="496">
        <f t="shared" si="179"/>
        <v>683291979.58733797</v>
      </c>
      <c r="J254" s="496">
        <f t="shared" si="179"/>
        <v>683291979.58733797</v>
      </c>
      <c r="K254" s="496">
        <f t="shared" si="179"/>
        <v>683291979.58733797</v>
      </c>
      <c r="L254" s="496">
        <f t="shared" si="179"/>
        <v>683291979.58733797</v>
      </c>
      <c r="M254" s="496">
        <f t="shared" si="179"/>
        <v>683291979.58733797</v>
      </c>
      <c r="N254" s="496">
        <f t="shared" si="179"/>
        <v>683291979.58733797</v>
      </c>
      <c r="O254" s="578" t="s">
        <v>2089</v>
      </c>
    </row>
    <row r="255" spans="1:15">
      <c r="A255" s="13" t="str">
        <f>IF(Obal!A255=0,"",Obal!A255)</f>
        <v/>
      </c>
      <c r="B255" s="272" t="str">
        <f>IF(Obal!B255=0,"",Obal!B255)</f>
        <v>Personal Computing</v>
      </c>
      <c r="E255" s="496">
        <f t="shared" ref="E255:N255" si="180">calcProd3TotalCLV</f>
        <v>135954654.0339036</v>
      </c>
      <c r="F255" s="496">
        <f t="shared" si="180"/>
        <v>135954654.0339036</v>
      </c>
      <c r="G255" s="496">
        <f t="shared" si="180"/>
        <v>135954654.0339036</v>
      </c>
      <c r="H255" s="496">
        <f t="shared" si="180"/>
        <v>135954654.0339036</v>
      </c>
      <c r="I255" s="496">
        <f t="shared" si="180"/>
        <v>135954654.0339036</v>
      </c>
      <c r="J255" s="496">
        <f t="shared" si="180"/>
        <v>135954654.0339036</v>
      </c>
      <c r="K255" s="496">
        <f t="shared" si="180"/>
        <v>135954654.0339036</v>
      </c>
      <c r="L255" s="496">
        <f t="shared" si="180"/>
        <v>135954654.0339036</v>
      </c>
      <c r="M255" s="496">
        <f t="shared" si="180"/>
        <v>135954654.0339036</v>
      </c>
      <c r="N255" s="496">
        <f t="shared" si="180"/>
        <v>135954654.0339036</v>
      </c>
      <c r="O255" s="578" t="s">
        <v>2090</v>
      </c>
    </row>
    <row r="256" spans="1:15">
      <c r="A256" s="13" t="str">
        <f>IF(Obal!A256=0,"",Obal!A256)</f>
        <v/>
      </c>
      <c r="B256" s="272" t="str">
        <f>IF(Obal!B256=0,"",Obal!B256)</f>
        <v>Total</v>
      </c>
      <c r="E256" s="496">
        <f t="shared" ref="E256:N256" si="181">calcTotalCLV</f>
        <v>1572773753.1877313</v>
      </c>
      <c r="F256" s="496">
        <f t="shared" si="181"/>
        <v>1572773753.1877313</v>
      </c>
      <c r="G256" s="496">
        <f t="shared" si="181"/>
        <v>1572773753.1877313</v>
      </c>
      <c r="H256" s="496">
        <f t="shared" si="181"/>
        <v>1572773753.1877313</v>
      </c>
      <c r="I256" s="496">
        <f t="shared" si="181"/>
        <v>1572773753.1877313</v>
      </c>
      <c r="J256" s="496">
        <f t="shared" si="181"/>
        <v>1572773753.1877313</v>
      </c>
      <c r="K256" s="496">
        <f t="shared" si="181"/>
        <v>1572773753.1877313</v>
      </c>
      <c r="L256" s="496">
        <f t="shared" si="181"/>
        <v>1572773753.1877313</v>
      </c>
      <c r="M256" s="496">
        <f t="shared" si="181"/>
        <v>1572773753.1877313</v>
      </c>
      <c r="N256" s="496">
        <f t="shared" si="181"/>
        <v>1572773753.1877313</v>
      </c>
      <c r="O256" s="578" t="s">
        <v>2091</v>
      </c>
    </row>
    <row r="257" spans="1:17">
      <c r="A257" s="13" t="str">
        <f>IF(Obal!A257=0,"",Obal!A257)</f>
        <v/>
      </c>
      <c r="B257" s="272" t="str">
        <f>IF(Obal!B257=0,"",Obal!B257)</f>
        <v/>
      </c>
      <c r="E257" s="476"/>
      <c r="F257" s="476"/>
      <c r="G257" s="476"/>
      <c r="H257" s="476"/>
      <c r="I257" s="476"/>
      <c r="J257" s="476"/>
      <c r="K257" s="476"/>
      <c r="L257" s="476"/>
      <c r="M257" s="476"/>
      <c r="N257" s="476"/>
    </row>
    <row r="258" spans="1:17">
      <c r="A258" s="13" t="str">
        <f>IF(Obal!A258=0,"",Obal!A258)</f>
        <v>Key Metrics</v>
      </c>
      <c r="B258" s="272" t="str">
        <f>IF(Obal!B258=0,"",Obal!B258)</f>
        <v/>
      </c>
    </row>
    <row r="259" spans="1:17">
      <c r="A259" s="13" t="str">
        <f>IF(Obal!A259=0,"",Obal!A259)</f>
        <v/>
      </c>
      <c r="B259" s="272" t="str">
        <f>IF(Obal!B259=0,"",Obal!B259)</f>
        <v>WHI</v>
      </c>
      <c r="E259" s="477">
        <f t="shared" ref="E259:N259" ca="1" si="182">calcWHI</f>
        <v>79.546374999999998</v>
      </c>
      <c r="F259" s="477">
        <f t="shared" ca="1" si="182"/>
        <v>79.546374999999998</v>
      </c>
      <c r="G259" s="477">
        <f t="shared" ca="1" si="182"/>
        <v>79.546374999999998</v>
      </c>
      <c r="H259" s="477">
        <f t="shared" ca="1" si="182"/>
        <v>79.546374999999998</v>
      </c>
      <c r="I259" s="477">
        <f t="shared" ca="1" si="182"/>
        <v>79.546374999999998</v>
      </c>
      <c r="J259" s="477">
        <f t="shared" ca="1" si="182"/>
        <v>79.546374999999998</v>
      </c>
      <c r="K259" s="477">
        <f t="shared" ca="1" si="182"/>
        <v>79.546374999999998</v>
      </c>
      <c r="L259" s="477">
        <f t="shared" ca="1" si="182"/>
        <v>79.546374999999998</v>
      </c>
      <c r="M259" s="477">
        <f t="shared" ca="1" si="182"/>
        <v>79.546374999999998</v>
      </c>
      <c r="N259" s="477">
        <f t="shared" ca="1" si="182"/>
        <v>79.546374999999998</v>
      </c>
      <c r="O259" t="s">
        <v>1319</v>
      </c>
    </row>
    <row r="260" spans="1:17">
      <c r="A260" s="13" t="str">
        <f>IF(Obal!A260=0,"",Obal!A260)</f>
        <v/>
      </c>
      <c r="B260" s="272" t="str">
        <f>IF(Obal!B260=0,"",Obal!B260)</f>
        <v>CPE</v>
      </c>
      <c r="E260" s="477">
        <f t="shared" ref="E260:N260" si="183">calcCPE</f>
        <v>78.678750000000008</v>
      </c>
      <c r="F260" s="477">
        <f t="shared" si="183"/>
        <v>78.678750000000008</v>
      </c>
      <c r="G260" s="477">
        <f t="shared" si="183"/>
        <v>78.678750000000008</v>
      </c>
      <c r="H260" s="477">
        <f t="shared" si="183"/>
        <v>78.678750000000008</v>
      </c>
      <c r="I260" s="477">
        <f t="shared" si="183"/>
        <v>78.678750000000008</v>
      </c>
      <c r="J260" s="477">
        <f t="shared" si="183"/>
        <v>78.678750000000008</v>
      </c>
      <c r="K260" s="477">
        <f t="shared" si="183"/>
        <v>78.678750000000008</v>
      </c>
      <c r="L260" s="477">
        <f t="shared" si="183"/>
        <v>78.678750000000008</v>
      </c>
      <c r="M260" s="477">
        <f t="shared" si="183"/>
        <v>78.678750000000008</v>
      </c>
      <c r="N260" s="477">
        <f t="shared" si="183"/>
        <v>78.678750000000008</v>
      </c>
      <c r="O260" t="s">
        <v>1318</v>
      </c>
    </row>
    <row r="261" spans="1:17">
      <c r="A261" s="13" t="str">
        <f>IF(Obal!A261=0,"",Obal!A261)</f>
        <v/>
      </c>
      <c r="B261" s="272" t="str">
        <f>IF(Obal!B261=0,"",Obal!B261)</f>
        <v>Collaboration</v>
      </c>
      <c r="E261" s="19">
        <f t="shared" ref="E261:N261" ca="1" si="184">calcCollab</f>
        <v>9</v>
      </c>
      <c r="F261" s="19">
        <f t="shared" ca="1" si="184"/>
        <v>9</v>
      </c>
      <c r="G261" s="19">
        <f t="shared" ca="1" si="184"/>
        <v>9</v>
      </c>
      <c r="H261" s="19">
        <f t="shared" ca="1" si="184"/>
        <v>9</v>
      </c>
      <c r="I261" s="19">
        <f t="shared" ca="1" si="184"/>
        <v>9</v>
      </c>
      <c r="J261" s="19">
        <f t="shared" ca="1" si="184"/>
        <v>9</v>
      </c>
      <c r="K261" s="19">
        <f t="shared" ca="1" si="184"/>
        <v>9</v>
      </c>
      <c r="L261" s="19">
        <f t="shared" ca="1" si="184"/>
        <v>9</v>
      </c>
      <c r="M261" s="19">
        <f t="shared" ca="1" si="184"/>
        <v>9</v>
      </c>
      <c r="N261" s="19">
        <f t="shared" ca="1" si="184"/>
        <v>9</v>
      </c>
      <c r="O261" t="s">
        <v>1748</v>
      </c>
    </row>
    <row r="262" spans="1:17">
      <c r="A262" s="13" t="str">
        <f>IF(Obal!A262=0,"",Obal!A262)</f>
        <v/>
      </c>
      <c r="B262" s="272" t="str">
        <f>IF(Obal!B262=0,"",Obal!B262)</f>
        <v>Internal Readiness</v>
      </c>
      <c r="E262" s="19">
        <f t="shared" ref="E262:N262" si="185">calcInternalReadiness</f>
        <v>100.785</v>
      </c>
      <c r="F262" s="19">
        <f t="shared" si="185"/>
        <v>100.785</v>
      </c>
      <c r="G262" s="19">
        <f t="shared" si="185"/>
        <v>100.785</v>
      </c>
      <c r="H262" s="19">
        <f t="shared" si="185"/>
        <v>100.785</v>
      </c>
      <c r="I262" s="19">
        <f t="shared" si="185"/>
        <v>100.785</v>
      </c>
      <c r="J262" s="19">
        <f t="shared" si="185"/>
        <v>100.785</v>
      </c>
      <c r="K262" s="19">
        <f t="shared" si="185"/>
        <v>100.785</v>
      </c>
      <c r="L262" s="19">
        <f t="shared" si="185"/>
        <v>100.785</v>
      </c>
      <c r="M262" s="19">
        <f t="shared" si="185"/>
        <v>100.785</v>
      </c>
      <c r="N262" s="19">
        <f t="shared" si="185"/>
        <v>100.785</v>
      </c>
      <c r="O262" t="s">
        <v>2245</v>
      </c>
    </row>
    <row r="263" spans="1:17">
      <c r="A263" s="13" t="str">
        <f>IF(Obal!A263=0,"",Obal!A263)</f>
        <v/>
      </c>
      <c r="B263" s="272" t="str">
        <f>IF(Obal!B263=0,"",Obal!B263)</f>
        <v>Revenue</v>
      </c>
      <c r="E263" s="496">
        <f t="shared" ref="E263:N263" si="186">finPNLTotalRev</f>
        <v>1082983940.4293339</v>
      </c>
      <c r="F263" s="496">
        <f t="shared" si="186"/>
        <v>1082983940.4293339</v>
      </c>
      <c r="G263" s="496">
        <f t="shared" si="186"/>
        <v>1082983940.4293339</v>
      </c>
      <c r="H263" s="496">
        <f t="shared" si="186"/>
        <v>1082983940.4293339</v>
      </c>
      <c r="I263" s="496">
        <f t="shared" si="186"/>
        <v>1082983940.4293339</v>
      </c>
      <c r="J263" s="496">
        <f t="shared" si="186"/>
        <v>1082983940.4293339</v>
      </c>
      <c r="K263" s="496">
        <f t="shared" si="186"/>
        <v>1082983940.4293339</v>
      </c>
      <c r="L263" s="496">
        <f t="shared" si="186"/>
        <v>1082983940.4293339</v>
      </c>
      <c r="M263" s="496">
        <f t="shared" si="186"/>
        <v>1082983940.4293339</v>
      </c>
      <c r="N263" s="496">
        <f t="shared" si="186"/>
        <v>1082983940.4293339</v>
      </c>
      <c r="O263" t="s">
        <v>2099</v>
      </c>
    </row>
    <row r="264" spans="1:17">
      <c r="A264" s="13" t="str">
        <f>IF(Obal!A264=0,"",Obal!A264)</f>
        <v/>
      </c>
      <c r="B264" s="272" t="str">
        <f>IF(Obal!B264=0,"",Obal!B264)</f>
        <v>Revenue Growth</v>
      </c>
      <c r="E264" s="476">
        <f>finPNLTotalRevGrowth</f>
        <v>0.13562840108960605</v>
      </c>
      <c r="F264" s="476">
        <f t="shared" ref="F264:N264" si="187">finPNLTotalRevGrowth</f>
        <v>0.13562840108960605</v>
      </c>
      <c r="G264" s="476">
        <f t="shared" si="187"/>
        <v>0.13562840108960605</v>
      </c>
      <c r="H264" s="476">
        <f t="shared" si="187"/>
        <v>0.13562840108960605</v>
      </c>
      <c r="I264" s="476">
        <f t="shared" si="187"/>
        <v>0.13562840108960605</v>
      </c>
      <c r="J264" s="476">
        <f t="shared" si="187"/>
        <v>0.13562840108960605</v>
      </c>
      <c r="K264" s="476">
        <f t="shared" si="187"/>
        <v>0.13562840108960605</v>
      </c>
      <c r="L264" s="476">
        <f t="shared" si="187"/>
        <v>0.13562840108960605</v>
      </c>
      <c r="M264" s="476">
        <f t="shared" si="187"/>
        <v>0.13562840108960605</v>
      </c>
      <c r="N264" s="476">
        <f t="shared" si="187"/>
        <v>0.13562840108960605</v>
      </c>
      <c r="O264" t="s">
        <v>2100</v>
      </c>
    </row>
    <row r="265" spans="1:17">
      <c r="A265" s="13" t="str">
        <f>IF(Obal!A265=0,"",Obal!A265)</f>
        <v/>
      </c>
      <c r="B265" s="272" t="str">
        <f>IF(Obal!B265=0,"",Obal!B265)</f>
        <v>Score</v>
      </c>
      <c r="E265" s="477">
        <f t="shared" ref="E265:N265" si="188">IF(xxSim0Tool1=1,0,IF(xxRound=0,0,LeagueUGScore))</f>
        <v>0</v>
      </c>
      <c r="F265" s="477">
        <f t="shared" si="188"/>
        <v>0</v>
      </c>
      <c r="G265" s="477">
        <f t="shared" si="188"/>
        <v>0</v>
      </c>
      <c r="H265" s="477">
        <f t="shared" si="188"/>
        <v>0</v>
      </c>
      <c r="I265" s="477">
        <f t="shared" si="188"/>
        <v>0</v>
      </c>
      <c r="J265" s="477">
        <f t="shared" si="188"/>
        <v>0</v>
      </c>
      <c r="K265" s="477">
        <f t="shared" si="188"/>
        <v>0</v>
      </c>
      <c r="L265" s="477">
        <f t="shared" si="188"/>
        <v>0</v>
      </c>
      <c r="M265" s="477">
        <f t="shared" si="188"/>
        <v>0</v>
      </c>
      <c r="N265" s="477">
        <f t="shared" si="188"/>
        <v>0</v>
      </c>
      <c r="O265" t="s">
        <v>2690</v>
      </c>
    </row>
    <row r="266" spans="1:17" s="497" customFormat="1">
      <c r="A266" s="13" t="str">
        <f>IF(Obal!A266=0,"",Obal!A266)</f>
        <v/>
      </c>
      <c r="B266" s="272" t="str">
        <f>IF(Obal!B266=0,"",Obal!B266)</f>
        <v/>
      </c>
      <c r="E266" s="499"/>
      <c r="F266" s="498"/>
      <c r="G266" s="498"/>
      <c r="H266" s="498"/>
      <c r="I266" s="498"/>
      <c r="J266" s="498"/>
      <c r="K266" s="498"/>
      <c r="L266" s="498"/>
      <c r="M266" s="498"/>
      <c r="N266" s="498"/>
      <c r="Q266"/>
    </row>
    <row r="267" spans="1:17" s="497" customFormat="1">
      <c r="A267" s="13" t="str">
        <f>IF(Obal!A267=0,"",Obal!A267)</f>
        <v>Challenges</v>
      </c>
      <c r="B267" s="272" t="str">
        <f>IF(Obal!B267=0,"",Obal!B267)</f>
        <v/>
      </c>
      <c r="E267" s="499"/>
      <c r="F267" s="498"/>
      <c r="G267" s="498"/>
      <c r="H267" s="498"/>
      <c r="I267" s="498"/>
      <c r="J267" s="498"/>
      <c r="K267" s="498"/>
      <c r="L267" s="498"/>
      <c r="M267" s="498"/>
      <c r="N267" s="498"/>
      <c r="Q267"/>
    </row>
    <row r="268" spans="1:17" s="497" customFormat="1">
      <c r="A268" s="13" t="str">
        <f>IF(Obal!A268=0,"",Obal!A268)</f>
        <v/>
      </c>
      <c r="B268" s="272" t="str">
        <f>IF(Obal!B268=0,"",Obal!B268)</f>
        <v>Round 1 Wobbler 1</v>
      </c>
      <c r="D268" s="844">
        <v>1</v>
      </c>
      <c r="E268" s="843">
        <f t="shared" ref="E268:N268" si="189">IF(xxRound=$D268,decWobbler1,obalWobbler1R1)</f>
        <v>0</v>
      </c>
      <c r="F268" s="843">
        <f t="shared" si="189"/>
        <v>0</v>
      </c>
      <c r="G268" s="843">
        <f t="shared" si="189"/>
        <v>0</v>
      </c>
      <c r="H268" s="843">
        <f t="shared" si="189"/>
        <v>0</v>
      </c>
      <c r="I268" s="843">
        <f t="shared" si="189"/>
        <v>0</v>
      </c>
      <c r="J268" s="843">
        <f t="shared" si="189"/>
        <v>0</v>
      </c>
      <c r="K268" s="843">
        <f t="shared" si="189"/>
        <v>0</v>
      </c>
      <c r="L268" s="843">
        <f t="shared" si="189"/>
        <v>0</v>
      </c>
      <c r="M268" s="843">
        <f t="shared" si="189"/>
        <v>0</v>
      </c>
      <c r="N268" s="843">
        <f t="shared" si="189"/>
        <v>0</v>
      </c>
      <c r="O268" s="578" t="s">
        <v>2394</v>
      </c>
      <c r="Q268"/>
    </row>
    <row r="269" spans="1:17" s="497" customFormat="1">
      <c r="A269" s="13" t="str">
        <f>IF(Obal!A269=0,"",Obal!A269)</f>
        <v/>
      </c>
      <c r="B269" s="272" t="str">
        <f>IF(Obal!B269=0,"",Obal!B269)</f>
        <v>Round 1 Wobbler 2</v>
      </c>
      <c r="D269" s="844">
        <v>1</v>
      </c>
      <c r="E269" s="843">
        <f t="shared" ref="E269:N269" si="190">IF(xxRound=$D269,decWobbler2,obalWobbler2R1)</f>
        <v>0</v>
      </c>
      <c r="F269" s="843">
        <f t="shared" si="190"/>
        <v>0</v>
      </c>
      <c r="G269" s="843">
        <f t="shared" si="190"/>
        <v>0</v>
      </c>
      <c r="H269" s="843">
        <f t="shared" si="190"/>
        <v>0</v>
      </c>
      <c r="I269" s="843">
        <f t="shared" si="190"/>
        <v>0</v>
      </c>
      <c r="J269" s="843">
        <f t="shared" si="190"/>
        <v>0</v>
      </c>
      <c r="K269" s="843">
        <f t="shared" si="190"/>
        <v>0</v>
      </c>
      <c r="L269" s="843">
        <f t="shared" si="190"/>
        <v>0</v>
      </c>
      <c r="M269" s="843">
        <f t="shared" si="190"/>
        <v>0</v>
      </c>
      <c r="N269" s="843">
        <f t="shared" si="190"/>
        <v>0</v>
      </c>
      <c r="O269" s="578" t="s">
        <v>2395</v>
      </c>
      <c r="Q269"/>
    </row>
    <row r="270" spans="1:17" s="497" customFormat="1">
      <c r="A270" s="13" t="str">
        <f>IF(Obal!A270=0,"",Obal!A270)</f>
        <v/>
      </c>
      <c r="B270" s="272" t="str">
        <f>IF(Obal!B270=0,"",Obal!B270)</f>
        <v>Round 1 Wobbler 3</v>
      </c>
      <c r="D270" s="844">
        <v>1</v>
      </c>
      <c r="E270" s="843">
        <f t="shared" ref="E270:N270" si="191">IF(xxRound=$D270,decWobbler3,obalWobbler3R1)</f>
        <v>0</v>
      </c>
      <c r="F270" s="843">
        <f t="shared" si="191"/>
        <v>0</v>
      </c>
      <c r="G270" s="843">
        <f t="shared" si="191"/>
        <v>0</v>
      </c>
      <c r="H270" s="843">
        <f t="shared" si="191"/>
        <v>0</v>
      </c>
      <c r="I270" s="843">
        <f t="shared" si="191"/>
        <v>0</v>
      </c>
      <c r="J270" s="843">
        <f t="shared" si="191"/>
        <v>0</v>
      </c>
      <c r="K270" s="843">
        <f t="shared" si="191"/>
        <v>0</v>
      </c>
      <c r="L270" s="843">
        <f t="shared" si="191"/>
        <v>0</v>
      </c>
      <c r="M270" s="843">
        <f t="shared" si="191"/>
        <v>0</v>
      </c>
      <c r="N270" s="843">
        <f t="shared" si="191"/>
        <v>0</v>
      </c>
      <c r="O270" s="578" t="s">
        <v>2396</v>
      </c>
      <c r="Q270"/>
    </row>
    <row r="271" spans="1:17" s="497" customFormat="1">
      <c r="A271" s="13" t="str">
        <f>IF(Obal!A271=0,"",Obal!A271)</f>
        <v/>
      </c>
      <c r="B271" s="272" t="str">
        <f>IF(Obal!B271=0,"",Obal!B271)</f>
        <v>Round 1 Wobbler 4</v>
      </c>
      <c r="D271" s="844">
        <v>1</v>
      </c>
      <c r="E271" s="843">
        <f t="shared" ref="E271:N271" si="192">IF(xxRound=$D271,decWobbler4,obalWobbler4R1)</f>
        <v>0</v>
      </c>
      <c r="F271" s="843">
        <f t="shared" si="192"/>
        <v>0</v>
      </c>
      <c r="G271" s="843">
        <f t="shared" si="192"/>
        <v>0</v>
      </c>
      <c r="H271" s="843">
        <f t="shared" si="192"/>
        <v>0</v>
      </c>
      <c r="I271" s="843">
        <f t="shared" si="192"/>
        <v>0</v>
      </c>
      <c r="J271" s="843">
        <f t="shared" si="192"/>
        <v>0</v>
      </c>
      <c r="K271" s="843">
        <f t="shared" si="192"/>
        <v>0</v>
      </c>
      <c r="L271" s="843">
        <f t="shared" si="192"/>
        <v>0</v>
      </c>
      <c r="M271" s="843">
        <f t="shared" si="192"/>
        <v>0</v>
      </c>
      <c r="N271" s="843">
        <f t="shared" si="192"/>
        <v>0</v>
      </c>
      <c r="O271" s="578" t="s">
        <v>2397</v>
      </c>
      <c r="Q271"/>
    </row>
    <row r="272" spans="1:17" s="497" customFormat="1">
      <c r="A272" s="13" t="str">
        <f>IF(Obal!A272=0,"",Obal!A272)</f>
        <v/>
      </c>
      <c r="B272" s="272" t="str">
        <f>IF(Obal!B272=0,"",Obal!B272)</f>
        <v>Round 1 Wobbler 5</v>
      </c>
      <c r="D272" s="844">
        <v>1</v>
      </c>
      <c r="E272" s="843">
        <f t="shared" ref="E272:N272" si="193">IF(xxRound=$D272,decWobbler5,obalWobbler5R1)</f>
        <v>0</v>
      </c>
      <c r="F272" s="843">
        <f t="shared" si="193"/>
        <v>0</v>
      </c>
      <c r="G272" s="843">
        <f t="shared" si="193"/>
        <v>0</v>
      </c>
      <c r="H272" s="843">
        <f t="shared" si="193"/>
        <v>0</v>
      </c>
      <c r="I272" s="843">
        <f t="shared" si="193"/>
        <v>0</v>
      </c>
      <c r="J272" s="843">
        <f t="shared" si="193"/>
        <v>0</v>
      </c>
      <c r="K272" s="843">
        <f t="shared" si="193"/>
        <v>0</v>
      </c>
      <c r="L272" s="843">
        <f t="shared" si="193"/>
        <v>0</v>
      </c>
      <c r="M272" s="843">
        <f t="shared" si="193"/>
        <v>0</v>
      </c>
      <c r="N272" s="843">
        <f t="shared" si="193"/>
        <v>0</v>
      </c>
      <c r="O272" s="578" t="s">
        <v>2398</v>
      </c>
      <c r="Q272"/>
    </row>
    <row r="273" spans="1:17" s="497" customFormat="1">
      <c r="A273" s="13" t="str">
        <f>IF(Obal!A273=0,"",Obal!A273)</f>
        <v/>
      </c>
      <c r="B273" s="272" t="str">
        <f>IF(Obal!B273=0,"",Obal!B273)</f>
        <v>Round 1 Wobbler 6</v>
      </c>
      <c r="D273" s="844">
        <v>1</v>
      </c>
      <c r="E273" s="843">
        <f t="shared" ref="E273:N273" si="194">IF(xxRound=$D273,decWobbler6,obalWobbler6R1)</f>
        <v>0</v>
      </c>
      <c r="F273" s="843">
        <f t="shared" si="194"/>
        <v>0</v>
      </c>
      <c r="G273" s="843">
        <f t="shared" si="194"/>
        <v>0</v>
      </c>
      <c r="H273" s="843">
        <f t="shared" si="194"/>
        <v>0</v>
      </c>
      <c r="I273" s="843">
        <f t="shared" si="194"/>
        <v>0</v>
      </c>
      <c r="J273" s="843">
        <f t="shared" si="194"/>
        <v>0</v>
      </c>
      <c r="K273" s="843">
        <f t="shared" si="194"/>
        <v>0</v>
      </c>
      <c r="L273" s="843">
        <f t="shared" si="194"/>
        <v>0</v>
      </c>
      <c r="M273" s="843">
        <f t="shared" si="194"/>
        <v>0</v>
      </c>
      <c r="N273" s="843">
        <f t="shared" si="194"/>
        <v>0</v>
      </c>
      <c r="O273" s="578" t="s">
        <v>2399</v>
      </c>
      <c r="Q273"/>
    </row>
    <row r="274" spans="1:17" s="497" customFormat="1">
      <c r="A274" s="13" t="str">
        <f>IF(Obal!A274=0,"",Obal!A274)</f>
        <v/>
      </c>
      <c r="B274" s="272" t="str">
        <f>IF(Obal!B274=0,"",Obal!B274)</f>
        <v>Round 1 Wobbler 7</v>
      </c>
      <c r="D274" s="844">
        <v>1</v>
      </c>
      <c r="E274" s="843">
        <f t="shared" ref="E274:N274" si="195">IF(xxRound=$D274,decWobbler7,obalWobbler7R1)</f>
        <v>0</v>
      </c>
      <c r="F274" s="843">
        <f t="shared" si="195"/>
        <v>0</v>
      </c>
      <c r="G274" s="843">
        <f t="shared" si="195"/>
        <v>0</v>
      </c>
      <c r="H274" s="843">
        <f t="shared" si="195"/>
        <v>0</v>
      </c>
      <c r="I274" s="843">
        <f t="shared" si="195"/>
        <v>0</v>
      </c>
      <c r="J274" s="843">
        <f t="shared" si="195"/>
        <v>0</v>
      </c>
      <c r="K274" s="843">
        <f t="shared" si="195"/>
        <v>0</v>
      </c>
      <c r="L274" s="843">
        <f t="shared" si="195"/>
        <v>0</v>
      </c>
      <c r="M274" s="843">
        <f t="shared" si="195"/>
        <v>0</v>
      </c>
      <c r="N274" s="843">
        <f t="shared" si="195"/>
        <v>0</v>
      </c>
      <c r="O274" s="578" t="s">
        <v>2400</v>
      </c>
      <c r="Q274"/>
    </row>
    <row r="275" spans="1:17" s="497" customFormat="1">
      <c r="A275" s="13" t="str">
        <f>IF(Obal!A275=0,"",Obal!A275)</f>
        <v/>
      </c>
      <c r="B275" s="272" t="str">
        <f>IF(Obal!B275=0,"",Obal!B275)</f>
        <v>Round 1 Wobbler 8</v>
      </c>
      <c r="D275" s="844">
        <v>1</v>
      </c>
      <c r="E275" s="843">
        <f t="shared" ref="E275:N275" si="196">IF(xxRound=$D275,decWobbler8,obalWobbler8R1)</f>
        <v>0</v>
      </c>
      <c r="F275" s="843">
        <f t="shared" si="196"/>
        <v>0</v>
      </c>
      <c r="G275" s="843">
        <f t="shared" si="196"/>
        <v>0</v>
      </c>
      <c r="H275" s="843">
        <f t="shared" si="196"/>
        <v>0</v>
      </c>
      <c r="I275" s="843">
        <f t="shared" si="196"/>
        <v>0</v>
      </c>
      <c r="J275" s="843">
        <f t="shared" si="196"/>
        <v>0</v>
      </c>
      <c r="K275" s="843">
        <f t="shared" si="196"/>
        <v>0</v>
      </c>
      <c r="L275" s="843">
        <f t="shared" si="196"/>
        <v>0</v>
      </c>
      <c r="M275" s="843">
        <f t="shared" si="196"/>
        <v>0</v>
      </c>
      <c r="N275" s="843">
        <f t="shared" si="196"/>
        <v>0</v>
      </c>
      <c r="O275" s="578" t="s">
        <v>2927</v>
      </c>
      <c r="Q275"/>
    </row>
    <row r="276" spans="1:17" s="497" customFormat="1">
      <c r="A276" s="13" t="str">
        <f>IF(Obal!A276=0,"",Obal!A276)</f>
        <v/>
      </c>
      <c r="B276" s="272" t="str">
        <f>IF(Obal!B276=0,"",Obal!B276)</f>
        <v>Round 1 Wobbler 1</v>
      </c>
      <c r="D276" s="844">
        <v>2</v>
      </c>
      <c r="E276" s="843">
        <f t="shared" ref="E276:N276" si="197">IF(xxRound=$D276,decWobbler1,obalWobbler1R2)</f>
        <v>0</v>
      </c>
      <c r="F276" s="843">
        <f t="shared" si="197"/>
        <v>0</v>
      </c>
      <c r="G276" s="843">
        <f t="shared" si="197"/>
        <v>0</v>
      </c>
      <c r="H276" s="843">
        <f t="shared" si="197"/>
        <v>0</v>
      </c>
      <c r="I276" s="843">
        <f t="shared" si="197"/>
        <v>0</v>
      </c>
      <c r="J276" s="843">
        <f t="shared" si="197"/>
        <v>0</v>
      </c>
      <c r="K276" s="843">
        <f t="shared" si="197"/>
        <v>0</v>
      </c>
      <c r="L276" s="843">
        <f t="shared" si="197"/>
        <v>0</v>
      </c>
      <c r="M276" s="843">
        <f t="shared" si="197"/>
        <v>0</v>
      </c>
      <c r="N276" s="843">
        <f t="shared" si="197"/>
        <v>0</v>
      </c>
      <c r="O276" s="578" t="s">
        <v>2401</v>
      </c>
      <c r="Q276"/>
    </row>
    <row r="277" spans="1:17" s="497" customFormat="1">
      <c r="A277" s="13" t="str">
        <f>IF(Obal!A277=0,"",Obal!A277)</f>
        <v/>
      </c>
      <c r="B277" s="272" t="str">
        <f>IF(Obal!B277=0,"",Obal!B277)</f>
        <v>Round 1 Wobbler 2</v>
      </c>
      <c r="D277" s="844">
        <v>2</v>
      </c>
      <c r="E277" s="843">
        <f t="shared" ref="E277:N277" si="198">IF(xxRound=$D277,decWobbler2,obalWobbler2R2)</f>
        <v>0</v>
      </c>
      <c r="F277" s="843">
        <f t="shared" si="198"/>
        <v>0</v>
      </c>
      <c r="G277" s="843">
        <f t="shared" si="198"/>
        <v>0</v>
      </c>
      <c r="H277" s="843">
        <f t="shared" si="198"/>
        <v>0</v>
      </c>
      <c r="I277" s="843">
        <f t="shared" si="198"/>
        <v>0</v>
      </c>
      <c r="J277" s="843">
        <f t="shared" si="198"/>
        <v>0</v>
      </c>
      <c r="K277" s="843">
        <f t="shared" si="198"/>
        <v>0</v>
      </c>
      <c r="L277" s="843">
        <f t="shared" si="198"/>
        <v>0</v>
      </c>
      <c r="M277" s="843">
        <f t="shared" si="198"/>
        <v>0</v>
      </c>
      <c r="N277" s="843">
        <f t="shared" si="198"/>
        <v>0</v>
      </c>
      <c r="O277" s="578" t="s">
        <v>2402</v>
      </c>
      <c r="Q277"/>
    </row>
    <row r="278" spans="1:17" s="497" customFormat="1">
      <c r="A278" s="13" t="str">
        <f>IF(Obal!A278=0,"",Obal!A278)</f>
        <v/>
      </c>
      <c r="B278" s="272" t="str">
        <f>IF(Obal!B278=0,"",Obal!B278)</f>
        <v>Round 1 Wobbler 3</v>
      </c>
      <c r="D278" s="844">
        <v>2</v>
      </c>
      <c r="E278" s="843">
        <f t="shared" ref="E278:N278" si="199">IF(xxRound=$D278,decWobbler3,obalWobbler3R2)</f>
        <v>0</v>
      </c>
      <c r="F278" s="843">
        <f t="shared" si="199"/>
        <v>0</v>
      </c>
      <c r="G278" s="843">
        <f t="shared" si="199"/>
        <v>0</v>
      </c>
      <c r="H278" s="843">
        <f t="shared" si="199"/>
        <v>0</v>
      </c>
      <c r="I278" s="843">
        <f t="shared" si="199"/>
        <v>0</v>
      </c>
      <c r="J278" s="843">
        <f t="shared" si="199"/>
        <v>0</v>
      </c>
      <c r="K278" s="843">
        <f t="shared" si="199"/>
        <v>0</v>
      </c>
      <c r="L278" s="843">
        <f t="shared" si="199"/>
        <v>0</v>
      </c>
      <c r="M278" s="843">
        <f t="shared" si="199"/>
        <v>0</v>
      </c>
      <c r="N278" s="843">
        <f t="shared" si="199"/>
        <v>0</v>
      </c>
      <c r="O278" s="578" t="s">
        <v>2403</v>
      </c>
      <c r="Q278"/>
    </row>
    <row r="279" spans="1:17" s="497" customFormat="1">
      <c r="A279" s="13" t="str">
        <f>IF(Obal!A279=0,"",Obal!A279)</f>
        <v/>
      </c>
      <c r="B279" s="272" t="str">
        <f>IF(Obal!B279=0,"",Obal!B279)</f>
        <v>Round 1 Wobbler 4</v>
      </c>
      <c r="D279" s="844">
        <v>2</v>
      </c>
      <c r="E279" s="843">
        <f t="shared" ref="E279:N279" si="200">IF(xxRound=$D279,decWobbler4,obalWobbler4R2)</f>
        <v>0</v>
      </c>
      <c r="F279" s="843">
        <f t="shared" si="200"/>
        <v>0</v>
      </c>
      <c r="G279" s="843">
        <f t="shared" si="200"/>
        <v>0</v>
      </c>
      <c r="H279" s="843">
        <f t="shared" si="200"/>
        <v>0</v>
      </c>
      <c r="I279" s="843">
        <f t="shared" si="200"/>
        <v>0</v>
      </c>
      <c r="J279" s="843">
        <f t="shared" si="200"/>
        <v>0</v>
      </c>
      <c r="K279" s="843">
        <f t="shared" si="200"/>
        <v>0</v>
      </c>
      <c r="L279" s="843">
        <f t="shared" si="200"/>
        <v>0</v>
      </c>
      <c r="M279" s="843">
        <f t="shared" si="200"/>
        <v>0</v>
      </c>
      <c r="N279" s="843">
        <f t="shared" si="200"/>
        <v>0</v>
      </c>
      <c r="O279" s="578" t="s">
        <v>2404</v>
      </c>
      <c r="Q279"/>
    </row>
    <row r="280" spans="1:17" s="497" customFormat="1">
      <c r="A280" s="13" t="str">
        <f>IF(Obal!A280=0,"",Obal!A280)</f>
        <v/>
      </c>
      <c r="B280" s="272" t="str">
        <f>IF(Obal!B280=0,"",Obal!B280)</f>
        <v>Round 1 Wobbler 5</v>
      </c>
      <c r="D280" s="844">
        <v>2</v>
      </c>
      <c r="E280" s="843">
        <f t="shared" ref="E280:N280" si="201">IF(xxRound=$D280,decWobbler5,obalWobbler5R2)</f>
        <v>0</v>
      </c>
      <c r="F280" s="843">
        <f t="shared" si="201"/>
        <v>0</v>
      </c>
      <c r="G280" s="843">
        <f t="shared" si="201"/>
        <v>0</v>
      </c>
      <c r="H280" s="843">
        <f t="shared" si="201"/>
        <v>0</v>
      </c>
      <c r="I280" s="843">
        <f t="shared" si="201"/>
        <v>0</v>
      </c>
      <c r="J280" s="843">
        <f t="shared" si="201"/>
        <v>0</v>
      </c>
      <c r="K280" s="843">
        <f t="shared" si="201"/>
        <v>0</v>
      </c>
      <c r="L280" s="843">
        <f t="shared" si="201"/>
        <v>0</v>
      </c>
      <c r="M280" s="843">
        <f t="shared" si="201"/>
        <v>0</v>
      </c>
      <c r="N280" s="843">
        <f t="shared" si="201"/>
        <v>0</v>
      </c>
      <c r="O280" s="578" t="s">
        <v>2405</v>
      </c>
      <c r="Q280"/>
    </row>
    <row r="281" spans="1:17" s="497" customFormat="1">
      <c r="A281" s="13" t="str">
        <f>IF(Obal!A281=0,"",Obal!A281)</f>
        <v/>
      </c>
      <c r="B281" s="272" t="str">
        <f>IF(Obal!B281=0,"",Obal!B281)</f>
        <v>Round 1 Wobbler 6</v>
      </c>
      <c r="D281" s="844">
        <v>2</v>
      </c>
      <c r="E281" s="843">
        <f t="shared" ref="E281:N281" si="202">IF(xxRound=$D281,decWobbler6,obalWobbler6R2)</f>
        <v>0</v>
      </c>
      <c r="F281" s="843">
        <f t="shared" si="202"/>
        <v>0</v>
      </c>
      <c r="G281" s="843">
        <f t="shared" si="202"/>
        <v>0</v>
      </c>
      <c r="H281" s="843">
        <f t="shared" si="202"/>
        <v>0</v>
      </c>
      <c r="I281" s="843">
        <f t="shared" si="202"/>
        <v>0</v>
      </c>
      <c r="J281" s="843">
        <f t="shared" si="202"/>
        <v>0</v>
      </c>
      <c r="K281" s="843">
        <f t="shared" si="202"/>
        <v>0</v>
      </c>
      <c r="L281" s="843">
        <f t="shared" si="202"/>
        <v>0</v>
      </c>
      <c r="M281" s="843">
        <f t="shared" si="202"/>
        <v>0</v>
      </c>
      <c r="N281" s="843">
        <f t="shared" si="202"/>
        <v>0</v>
      </c>
      <c r="O281" s="578" t="s">
        <v>2406</v>
      </c>
      <c r="Q281"/>
    </row>
    <row r="282" spans="1:17" s="497" customFormat="1">
      <c r="A282" s="13" t="str">
        <f>IF(Obal!A282=0,"",Obal!A282)</f>
        <v/>
      </c>
      <c r="B282" s="272" t="str">
        <f>IF(Obal!B282=0,"",Obal!B282)</f>
        <v>Round 1 Wobbler 7</v>
      </c>
      <c r="D282" s="844">
        <v>2</v>
      </c>
      <c r="E282" s="843">
        <f t="shared" ref="E282:N282" si="203">IF(xxRound=$D282,decWobbler7,obalWobbler7R2)</f>
        <v>0</v>
      </c>
      <c r="F282" s="843">
        <f t="shared" si="203"/>
        <v>0</v>
      </c>
      <c r="G282" s="843">
        <f t="shared" si="203"/>
        <v>0</v>
      </c>
      <c r="H282" s="843">
        <f t="shared" si="203"/>
        <v>0</v>
      </c>
      <c r="I282" s="843">
        <f t="shared" si="203"/>
        <v>0</v>
      </c>
      <c r="J282" s="843">
        <f t="shared" si="203"/>
        <v>0</v>
      </c>
      <c r="K282" s="843">
        <f t="shared" si="203"/>
        <v>0</v>
      </c>
      <c r="L282" s="843">
        <f t="shared" si="203"/>
        <v>0</v>
      </c>
      <c r="M282" s="843">
        <f t="shared" si="203"/>
        <v>0</v>
      </c>
      <c r="N282" s="843">
        <f t="shared" si="203"/>
        <v>0</v>
      </c>
      <c r="O282" s="578" t="s">
        <v>2407</v>
      </c>
      <c r="Q282"/>
    </row>
    <row r="283" spans="1:17" s="497" customFormat="1">
      <c r="A283" s="13" t="str">
        <f>IF(Obal!A283=0,"",Obal!A283)</f>
        <v/>
      </c>
      <c r="B283" s="272" t="str">
        <f>IF(Obal!B283=0,"",Obal!B283)</f>
        <v>Round 1 Wobbler 1</v>
      </c>
      <c r="D283" s="844">
        <v>3</v>
      </c>
      <c r="E283" s="843">
        <f t="shared" ref="E283:N283" si="204">IF(xxRound=$D283,decWobbler1,obalWobbler1R3)</f>
        <v>0</v>
      </c>
      <c r="F283" s="843">
        <f t="shared" si="204"/>
        <v>0</v>
      </c>
      <c r="G283" s="843">
        <f t="shared" si="204"/>
        <v>0</v>
      </c>
      <c r="H283" s="843">
        <f t="shared" si="204"/>
        <v>0</v>
      </c>
      <c r="I283" s="843">
        <f t="shared" si="204"/>
        <v>0</v>
      </c>
      <c r="J283" s="843">
        <f t="shared" si="204"/>
        <v>0</v>
      </c>
      <c r="K283" s="843">
        <f t="shared" si="204"/>
        <v>0</v>
      </c>
      <c r="L283" s="843">
        <f t="shared" si="204"/>
        <v>0</v>
      </c>
      <c r="M283" s="843">
        <f t="shared" si="204"/>
        <v>0</v>
      </c>
      <c r="N283" s="843">
        <f t="shared" si="204"/>
        <v>0</v>
      </c>
      <c r="O283" s="578" t="s">
        <v>2408</v>
      </c>
      <c r="Q283"/>
    </row>
    <row r="284" spans="1:17" s="497" customFormat="1">
      <c r="A284" s="13" t="str">
        <f>IF(Obal!A284=0,"",Obal!A284)</f>
        <v/>
      </c>
      <c r="B284" s="272" t="str">
        <f>IF(Obal!B284=0,"",Obal!B284)</f>
        <v>Round 1 Wobbler 2</v>
      </c>
      <c r="D284" s="844">
        <v>3</v>
      </c>
      <c r="E284" s="843">
        <f t="shared" ref="E284:N284" si="205">IF(xxRound=$D284,decWobbler2,obalWobbler2R3)</f>
        <v>0</v>
      </c>
      <c r="F284" s="843">
        <f t="shared" si="205"/>
        <v>0</v>
      </c>
      <c r="G284" s="843">
        <f t="shared" si="205"/>
        <v>0</v>
      </c>
      <c r="H284" s="843">
        <f t="shared" si="205"/>
        <v>0</v>
      </c>
      <c r="I284" s="843">
        <f t="shared" si="205"/>
        <v>0</v>
      </c>
      <c r="J284" s="843">
        <f t="shared" si="205"/>
        <v>0</v>
      </c>
      <c r="K284" s="843">
        <f t="shared" si="205"/>
        <v>0</v>
      </c>
      <c r="L284" s="843">
        <f t="shared" si="205"/>
        <v>0</v>
      </c>
      <c r="M284" s="843">
        <f t="shared" si="205"/>
        <v>0</v>
      </c>
      <c r="N284" s="843">
        <f t="shared" si="205"/>
        <v>0</v>
      </c>
      <c r="O284" s="578" t="s">
        <v>2409</v>
      </c>
      <c r="Q284"/>
    </row>
    <row r="285" spans="1:17" s="497" customFormat="1">
      <c r="A285" s="13" t="str">
        <f>IF(Obal!A285=0,"",Obal!A285)</f>
        <v/>
      </c>
      <c r="B285" s="272" t="str">
        <f>IF(Obal!B285=0,"",Obal!B285)</f>
        <v>Round 1 Wobbler 3</v>
      </c>
      <c r="D285" s="844">
        <v>3</v>
      </c>
      <c r="E285" s="843">
        <f t="shared" ref="E285:N285" si="206">IF(xxRound=$D285,decWobbler3,obalWobbler3R3)</f>
        <v>0</v>
      </c>
      <c r="F285" s="843">
        <f t="shared" si="206"/>
        <v>0</v>
      </c>
      <c r="G285" s="843">
        <f t="shared" si="206"/>
        <v>0</v>
      </c>
      <c r="H285" s="843">
        <f t="shared" si="206"/>
        <v>0</v>
      </c>
      <c r="I285" s="843">
        <f t="shared" si="206"/>
        <v>0</v>
      </c>
      <c r="J285" s="843">
        <f t="shared" si="206"/>
        <v>0</v>
      </c>
      <c r="K285" s="843">
        <f t="shared" si="206"/>
        <v>0</v>
      </c>
      <c r="L285" s="843">
        <f t="shared" si="206"/>
        <v>0</v>
      </c>
      <c r="M285" s="843">
        <f t="shared" si="206"/>
        <v>0</v>
      </c>
      <c r="N285" s="843">
        <f t="shared" si="206"/>
        <v>0</v>
      </c>
      <c r="O285" s="578" t="s">
        <v>2410</v>
      </c>
      <c r="Q285"/>
    </row>
    <row r="286" spans="1:17" s="497" customFormat="1">
      <c r="A286" s="13" t="str">
        <f>IF(Obal!A286=0,"",Obal!A286)</f>
        <v/>
      </c>
      <c r="B286" s="272" t="str">
        <f>IF(Obal!B286=0,"",Obal!B286)</f>
        <v>Round 1 Wobbler 4</v>
      </c>
      <c r="D286" s="844">
        <v>3</v>
      </c>
      <c r="E286" s="843">
        <f t="shared" ref="E286:N286" si="207">IF(xxRound=$D286,decWobbler4,obalWobbler4R3)</f>
        <v>0</v>
      </c>
      <c r="F286" s="843">
        <f t="shared" si="207"/>
        <v>0</v>
      </c>
      <c r="G286" s="843">
        <f t="shared" si="207"/>
        <v>0</v>
      </c>
      <c r="H286" s="843">
        <f t="shared" si="207"/>
        <v>0</v>
      </c>
      <c r="I286" s="843">
        <f t="shared" si="207"/>
        <v>0</v>
      </c>
      <c r="J286" s="843">
        <f t="shared" si="207"/>
        <v>0</v>
      </c>
      <c r="K286" s="843">
        <f t="shared" si="207"/>
        <v>0</v>
      </c>
      <c r="L286" s="843">
        <f t="shared" si="207"/>
        <v>0</v>
      </c>
      <c r="M286" s="843">
        <f t="shared" si="207"/>
        <v>0</v>
      </c>
      <c r="N286" s="843">
        <f t="shared" si="207"/>
        <v>0</v>
      </c>
      <c r="O286" s="578" t="s">
        <v>2411</v>
      </c>
      <c r="Q286"/>
    </row>
    <row r="287" spans="1:17" s="497" customFormat="1">
      <c r="A287" s="13" t="str">
        <f>IF(Obal!A287=0,"",Obal!A287)</f>
        <v/>
      </c>
      <c r="B287" s="272" t="str">
        <f>IF(Obal!B287=0,"",Obal!B287)</f>
        <v>Round 1 Wobbler 5</v>
      </c>
      <c r="D287" s="844">
        <v>3</v>
      </c>
      <c r="E287" s="843">
        <f t="shared" ref="E287:N287" si="208">IF(xxRound=$D287,decWobbler5,obalWobbler5R3)</f>
        <v>0</v>
      </c>
      <c r="F287" s="843">
        <f t="shared" si="208"/>
        <v>0</v>
      </c>
      <c r="G287" s="843">
        <f t="shared" si="208"/>
        <v>0</v>
      </c>
      <c r="H287" s="843">
        <f t="shared" si="208"/>
        <v>0</v>
      </c>
      <c r="I287" s="843">
        <f t="shared" si="208"/>
        <v>0</v>
      </c>
      <c r="J287" s="843">
        <f t="shared" si="208"/>
        <v>0</v>
      </c>
      <c r="K287" s="843">
        <f t="shared" si="208"/>
        <v>0</v>
      </c>
      <c r="L287" s="843">
        <f t="shared" si="208"/>
        <v>0</v>
      </c>
      <c r="M287" s="843">
        <f t="shared" si="208"/>
        <v>0</v>
      </c>
      <c r="N287" s="843">
        <f t="shared" si="208"/>
        <v>0</v>
      </c>
      <c r="O287" s="578" t="s">
        <v>2412</v>
      </c>
      <c r="Q287"/>
    </row>
    <row r="288" spans="1:17" s="497" customFormat="1">
      <c r="A288" s="13" t="str">
        <f>IF(Obal!A288=0,"",Obal!A288)</f>
        <v/>
      </c>
      <c r="B288" s="272" t="str">
        <f>IF(Obal!B288=0,"",Obal!B288)</f>
        <v>Round 1 Wobbler 6</v>
      </c>
      <c r="D288" s="844">
        <v>3</v>
      </c>
      <c r="E288" s="843">
        <f t="shared" ref="E288:N288" si="209">IF(xxRound=$D288,decWobbler6,obalWobbler6R3)</f>
        <v>0</v>
      </c>
      <c r="F288" s="843">
        <f t="shared" si="209"/>
        <v>0</v>
      </c>
      <c r="G288" s="843">
        <f t="shared" si="209"/>
        <v>0</v>
      </c>
      <c r="H288" s="843">
        <f t="shared" si="209"/>
        <v>0</v>
      </c>
      <c r="I288" s="843">
        <f t="shared" si="209"/>
        <v>0</v>
      </c>
      <c r="J288" s="843">
        <f t="shared" si="209"/>
        <v>0</v>
      </c>
      <c r="K288" s="843">
        <f t="shared" si="209"/>
        <v>0</v>
      </c>
      <c r="L288" s="843">
        <f t="shared" si="209"/>
        <v>0</v>
      </c>
      <c r="M288" s="843">
        <f t="shared" si="209"/>
        <v>0</v>
      </c>
      <c r="N288" s="843">
        <f t="shared" si="209"/>
        <v>0</v>
      </c>
      <c r="O288" s="578" t="s">
        <v>2413</v>
      </c>
      <c r="Q288"/>
    </row>
    <row r="289" spans="1:17" s="497" customFormat="1">
      <c r="A289" s="13" t="str">
        <f>IF(Obal!A289=0,"",Obal!A289)</f>
        <v/>
      </c>
      <c r="B289" s="272" t="str">
        <f>IF(Obal!B289=0,"",Obal!B289)</f>
        <v>Round 1 Wobbler 7</v>
      </c>
      <c r="D289" s="844">
        <v>3</v>
      </c>
      <c r="E289" s="843">
        <f t="shared" ref="E289:N289" si="210">IF(xxRound=$D289,decWobbler7,obalWobbler7R3)</f>
        <v>0</v>
      </c>
      <c r="F289" s="843">
        <f t="shared" si="210"/>
        <v>0</v>
      </c>
      <c r="G289" s="843">
        <f t="shared" si="210"/>
        <v>0</v>
      </c>
      <c r="H289" s="843">
        <f t="shared" si="210"/>
        <v>0</v>
      </c>
      <c r="I289" s="843">
        <f t="shared" si="210"/>
        <v>0</v>
      </c>
      <c r="J289" s="843">
        <f t="shared" si="210"/>
        <v>0</v>
      </c>
      <c r="K289" s="843">
        <f t="shared" si="210"/>
        <v>0</v>
      </c>
      <c r="L289" s="843">
        <f t="shared" si="210"/>
        <v>0</v>
      </c>
      <c r="M289" s="843">
        <f t="shared" si="210"/>
        <v>0</v>
      </c>
      <c r="N289" s="843">
        <f t="shared" si="210"/>
        <v>0</v>
      </c>
      <c r="O289" s="578" t="s">
        <v>2414</v>
      </c>
      <c r="Q289"/>
    </row>
    <row r="290" spans="1:17">
      <c r="A290" s="13" t="str">
        <f>IF(Obal!A290=0,"",Obal!A290)</f>
        <v/>
      </c>
      <c r="B290" s="272" t="str">
        <f>IF(Obal!B290=0,"",Obal!B290)</f>
        <v/>
      </c>
    </row>
    <row r="291" spans="1:17" s="11" customFormat="1">
      <c r="A291" s="11" t="str">
        <f>IF(Obal!A291=0,"",Obal!A291)</f>
        <v>End of Opening Balances</v>
      </c>
      <c r="B291" s="11" t="str">
        <f>IF(Obal!B291=0,"",Obal!B291)</f>
        <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theme="5"/>
  </sheetPr>
  <dimension ref="A1:W359"/>
  <sheetViews>
    <sheetView topLeftCell="A303" workbookViewId="0">
      <selection activeCell="F363" sqref="F363"/>
    </sheetView>
  </sheetViews>
  <sheetFormatPr defaultRowHeight="13.8"/>
  <cols>
    <col min="1" max="1" width="1.54296875" customWidth="1"/>
    <col min="2" max="2" width="14.7265625" customWidth="1"/>
    <col min="3" max="8" width="17.36328125" customWidth="1"/>
  </cols>
  <sheetData>
    <row r="1" spans="1:22" s="874" customFormat="1" ht="16.2">
      <c r="A1" s="876" t="s">
        <v>3187</v>
      </c>
      <c r="B1" s="873"/>
      <c r="P1" s="873"/>
      <c r="Q1" s="875"/>
      <c r="R1" s="875"/>
      <c r="S1" s="875"/>
      <c r="U1" s="873"/>
    </row>
    <row r="2" spans="1:22" s="293" customFormat="1">
      <c r="A2" s="295"/>
      <c r="B2" s="295" t="s">
        <v>3199</v>
      </c>
      <c r="E2" s="294"/>
      <c r="F2" s="294"/>
      <c r="G2" s="294"/>
      <c r="H2" s="294"/>
      <c r="I2" s="294"/>
      <c r="J2" s="294"/>
      <c r="K2" s="294"/>
      <c r="L2" s="294"/>
      <c r="M2" s="294"/>
      <c r="N2" s="294"/>
      <c r="O2" s="294"/>
    </row>
    <row r="3" spans="1:22" s="284" customFormat="1"/>
    <row r="4" spans="1:22" s="284" customFormat="1">
      <c r="B4" s="715" t="s">
        <v>3199</v>
      </c>
      <c r="C4" s="1232">
        <f>xxNumOfTeams+1</f>
        <v>11</v>
      </c>
      <c r="D4" s="715" t="s">
        <v>3200</v>
      </c>
    </row>
    <row r="5" spans="1:22" s="284" customFormat="1"/>
    <row r="6" spans="1:22" s="293" customFormat="1">
      <c r="A6" s="295"/>
      <c r="B6" s="295" t="str">
        <f>nmProd1Seg1&amp;" Growth and Balancing Inputs"</f>
        <v>Productivity &amp; Business Enterprise Growth and Balancing Inputs</v>
      </c>
      <c r="E6" s="294"/>
      <c r="F6" s="294"/>
      <c r="G6" s="294"/>
      <c r="H6" s="294"/>
      <c r="I6" s="294"/>
      <c r="J6" s="294"/>
      <c r="K6" s="294"/>
      <c r="L6" s="294"/>
      <c r="M6" s="294"/>
      <c r="N6" s="294"/>
      <c r="O6" s="294"/>
    </row>
    <row r="7" spans="1:22" s="284" customFormat="1"/>
    <row r="8" spans="1:22" s="284" customFormat="1">
      <c r="B8" s="284" t="s">
        <v>849</v>
      </c>
      <c r="C8" s="365" t="s">
        <v>852</v>
      </c>
      <c r="D8" s="284" t="s">
        <v>2138</v>
      </c>
    </row>
    <row r="9" spans="1:22" s="285" customFormat="1" ht="4.5" customHeight="1">
      <c r="A9" s="286"/>
      <c r="B9" s="286"/>
      <c r="C9" s="292"/>
      <c r="E9" s="290"/>
      <c r="F9" s="290"/>
      <c r="G9" s="290"/>
      <c r="H9" s="290"/>
      <c r="I9" s="290"/>
      <c r="J9" s="290"/>
      <c r="K9" s="290"/>
      <c r="L9" s="290"/>
      <c r="M9" s="290"/>
      <c r="N9" s="290"/>
      <c r="O9" s="290"/>
      <c r="P9" s="287"/>
      <c r="Q9" s="287"/>
      <c r="R9" s="287"/>
      <c r="S9" s="287"/>
      <c r="T9" s="287"/>
      <c r="U9" s="286"/>
      <c r="V9" s="286"/>
    </row>
    <row r="10" spans="1:22" s="284" customFormat="1">
      <c r="B10" s="284" t="s">
        <v>771</v>
      </c>
      <c r="C10" s="365" t="s">
        <v>848</v>
      </c>
      <c r="D10" s="284" t="s">
        <v>2139</v>
      </c>
    </row>
    <row r="11" spans="1:22" s="284" customFormat="1"/>
    <row r="12" spans="1:22" s="285" customFormat="1">
      <c r="A12" s="296" t="b">
        <f>IF(mmSubProd1Seg1FinModel="Other",TRUE,FALSE)</f>
        <v>0</v>
      </c>
    </row>
    <row r="13" spans="1:22" s="285" customFormat="1">
      <c r="A13" s="296" t="b">
        <f>IF(mmSubProd1Seg1FinModel="Other",TRUE,FALSE)</f>
        <v>0</v>
      </c>
      <c r="B13" s="364" t="s">
        <v>847</v>
      </c>
    </row>
    <row r="14" spans="1:22" s="285" customFormat="1" ht="4.5" customHeight="1">
      <c r="A14" s="296" t="b">
        <f>IF(mmSubProd1Seg1FinModel="Other",TRUE,FALSE)</f>
        <v>0</v>
      </c>
      <c r="B14" s="286"/>
      <c r="C14" s="292"/>
      <c r="E14" s="290"/>
      <c r="F14" s="290"/>
      <c r="G14" s="290"/>
      <c r="H14" s="290"/>
      <c r="I14" s="290"/>
      <c r="J14" s="290"/>
      <c r="K14" s="290"/>
      <c r="L14" s="290"/>
      <c r="M14" s="290"/>
      <c r="N14" s="290"/>
      <c r="O14" s="290"/>
      <c r="P14" s="287"/>
      <c r="Q14" s="287"/>
      <c r="R14" s="287"/>
      <c r="S14" s="287"/>
      <c r="T14" s="287"/>
      <c r="U14" s="286"/>
      <c r="V14" s="286"/>
    </row>
    <row r="15" spans="1:22" s="285" customFormat="1">
      <c r="A15" s="296" t="b">
        <f>IF(mmSubProd1Seg1FinModel="Other",TRUE,FALSE)</f>
        <v>0</v>
      </c>
      <c r="B15" s="334" t="s">
        <v>805</v>
      </c>
      <c r="C15" s="363" t="s">
        <v>846</v>
      </c>
      <c r="D15" s="361"/>
      <c r="E15" s="361"/>
      <c r="F15" s="362" t="s">
        <v>845</v>
      </c>
      <c r="G15" s="361"/>
      <c r="H15" s="360"/>
      <c r="I15" s="337"/>
      <c r="J15" s="337"/>
      <c r="K15" s="337"/>
      <c r="L15" s="337"/>
      <c r="M15" s="337"/>
      <c r="N15" s="337"/>
      <c r="O15" s="337"/>
      <c r="P15" s="337"/>
      <c r="Q15" s="337"/>
      <c r="R15" s="337"/>
    </row>
    <row r="16" spans="1:22" s="285" customFormat="1">
      <c r="A16" s="296" t="b">
        <f>IF(OR(mmSubProd1Seg1FinModel="SW - Deferral",mmSubProd1Seg1FinModel="Insurance"),FALSE,TRUE)</f>
        <v>0</v>
      </c>
      <c r="C16" s="357" t="s">
        <v>844</v>
      </c>
      <c r="D16" s="315"/>
      <c r="E16" s="358">
        <v>2</v>
      </c>
      <c r="F16" s="356" t="str">
        <f>IF(mmSubProd1Seg1FinModel="Sw - Deferral","**From FinDefContractLength","")</f>
        <v>**From FinDefContractLength</v>
      </c>
      <c r="G16" s="315"/>
      <c r="H16" s="355"/>
      <c r="I16" s="337"/>
      <c r="J16" s="337"/>
      <c r="K16" s="337"/>
      <c r="L16" s="337"/>
      <c r="M16" s="337"/>
      <c r="N16" s="337"/>
      <c r="O16" s="337"/>
      <c r="P16" s="337"/>
      <c r="Q16" s="337"/>
      <c r="R16" s="337"/>
      <c r="S16" s="346"/>
    </row>
    <row r="17" spans="1:23" s="285" customFormat="1">
      <c r="A17" s="296" t="b">
        <f>IF(mmSubProd1Seg1FinModel="SW - Deferral",FALSE,TRUE)</f>
        <v>0</v>
      </c>
      <c r="C17" s="357" t="s">
        <v>843</v>
      </c>
      <c r="D17" s="315"/>
      <c r="E17" s="359">
        <f>100%/E16</f>
        <v>0.5</v>
      </c>
      <c r="F17" s="356"/>
      <c r="G17" s="315"/>
      <c r="H17" s="355"/>
      <c r="I17" s="337"/>
      <c r="J17" s="337"/>
      <c r="K17" s="337"/>
      <c r="L17" s="337"/>
      <c r="M17" s="337"/>
      <c r="N17" s="337"/>
      <c r="O17" s="337"/>
      <c r="P17" s="337"/>
      <c r="Q17" s="337"/>
      <c r="R17" s="337"/>
      <c r="S17" s="346"/>
    </row>
    <row r="18" spans="1:23" s="285" customFormat="1" hidden="1">
      <c r="A18" s="296" t="b">
        <f>IF(mmSubProd1Seg1FinModel="SW - Recurring Revenue",FALSE,TRUE)</f>
        <v>1</v>
      </c>
      <c r="C18" s="357" t="s">
        <v>842</v>
      </c>
      <c r="D18" s="315"/>
      <c r="E18" s="358">
        <v>4</v>
      </c>
      <c r="F18" s="356" t="s">
        <v>841</v>
      </c>
      <c r="G18" s="315"/>
      <c r="H18" s="355"/>
      <c r="I18" s="337"/>
      <c r="J18" s="337"/>
      <c r="K18" s="337"/>
      <c r="L18" s="337"/>
      <c r="M18" s="337"/>
      <c r="N18" s="337"/>
      <c r="O18" s="337"/>
      <c r="P18" s="337"/>
      <c r="Q18" s="337"/>
      <c r="R18" s="337"/>
      <c r="S18" s="346"/>
    </row>
    <row r="19" spans="1:23" s="285" customFormat="1" hidden="1">
      <c r="A19" s="296" t="b">
        <f>IF(mmSubProd1Seg1FinModel="SW - Recurring Revenue",FALSE,TRUE)</f>
        <v>1</v>
      </c>
      <c r="C19" s="357" t="s">
        <v>840</v>
      </c>
      <c r="D19" s="315"/>
      <c r="E19" s="415">
        <f>1.5/E18</f>
        <v>0.375</v>
      </c>
      <c r="F19" s="356"/>
      <c r="G19" s="315"/>
      <c r="H19" s="355"/>
      <c r="I19" s="337"/>
      <c r="J19" s="337"/>
      <c r="K19" s="337"/>
      <c r="L19" s="337"/>
      <c r="M19" s="337"/>
      <c r="N19" s="337"/>
      <c r="O19" s="337"/>
      <c r="P19" s="337"/>
      <c r="Q19" s="337"/>
      <c r="R19" s="337"/>
      <c r="S19" s="346"/>
    </row>
    <row r="20" spans="1:23" s="285" customFormat="1">
      <c r="A20" s="296" t="b">
        <f>IF(mmSubProd1Seg1FinModel="SW - Deferral",FALSE,TRUE)</f>
        <v>0</v>
      </c>
      <c r="C20" s="357" t="s">
        <v>839</v>
      </c>
      <c r="D20" s="315"/>
      <c r="E20" s="359">
        <f>1-E17</f>
        <v>0.5</v>
      </c>
      <c r="F20" s="356"/>
      <c r="G20" s="315"/>
      <c r="H20" s="355"/>
      <c r="I20" s="337"/>
      <c r="J20" s="337"/>
      <c r="K20" s="337"/>
      <c r="L20" s="337"/>
      <c r="M20" s="337"/>
      <c r="N20" s="337"/>
      <c r="O20" s="337"/>
      <c r="P20" s="337"/>
      <c r="Q20" s="337"/>
      <c r="R20" s="337"/>
      <c r="S20" s="346"/>
    </row>
    <row r="21" spans="1:23" s="285" customFormat="1">
      <c r="A21" s="296" t="b">
        <f>IF(mmSubProd1Seg1FinModel="SW - Deferral",FALSE,TRUE)</f>
        <v>0</v>
      </c>
      <c r="C21" s="357" t="s">
        <v>838</v>
      </c>
      <c r="D21" s="315"/>
      <c r="E21" s="358">
        <f>Obal!$Q224</f>
        <v>38124450.000000007</v>
      </c>
      <c r="F21" s="356" t="s">
        <v>837</v>
      </c>
      <c r="G21" s="315"/>
      <c r="H21" s="355"/>
      <c r="I21" s="337"/>
      <c r="J21" s="337"/>
      <c r="K21" s="337"/>
      <c r="L21" s="337"/>
      <c r="M21" s="337"/>
      <c r="N21" s="337"/>
      <c r="O21" s="337"/>
      <c r="P21" s="337"/>
      <c r="Q21" s="337"/>
      <c r="R21" s="337"/>
      <c r="S21" s="346"/>
    </row>
    <row r="22" spans="1:23" s="285" customFormat="1" hidden="1">
      <c r="A22" s="296" t="b">
        <f>IF(mmSubProd1Seg1FinModel="SW - Recurring Revenue",FALSE,TRUE)</f>
        <v>1</v>
      </c>
      <c r="C22" s="357" t="s">
        <v>836</v>
      </c>
      <c r="D22" s="315"/>
      <c r="E22" s="358">
        <v>9000000</v>
      </c>
      <c r="F22" s="356" t="s">
        <v>835</v>
      </c>
      <c r="G22" s="315"/>
      <c r="H22" s="355"/>
      <c r="I22" s="337"/>
      <c r="J22" s="337"/>
      <c r="K22" s="337"/>
      <c r="L22" s="337"/>
      <c r="M22" s="337"/>
      <c r="N22" s="337"/>
      <c r="O22" s="337"/>
      <c r="P22" s="337"/>
      <c r="Q22" s="337"/>
      <c r="R22" s="337"/>
      <c r="S22" s="346"/>
    </row>
    <row r="23" spans="1:23" s="285" customFormat="1">
      <c r="C23" s="357" t="s">
        <v>188</v>
      </c>
      <c r="D23" s="315"/>
      <c r="E23" s="410">
        <f>dataProd1Price</f>
        <v>15</v>
      </c>
      <c r="F23" s="356" t="s">
        <v>834</v>
      </c>
      <c r="G23" s="315"/>
      <c r="H23" s="355"/>
      <c r="I23" s="337"/>
      <c r="J23" s="337"/>
      <c r="K23" s="337"/>
      <c r="L23" s="337"/>
      <c r="M23" s="337"/>
      <c r="N23" s="337"/>
      <c r="O23" s="337"/>
      <c r="P23" s="337"/>
      <c r="Q23" s="337"/>
      <c r="R23" s="337"/>
    </row>
    <row r="24" spans="1:23" s="337" customFormat="1">
      <c r="A24" s="285"/>
      <c r="B24" s="339"/>
      <c r="C24" s="354" t="s">
        <v>833</v>
      </c>
      <c r="D24" s="351"/>
      <c r="E24" s="353">
        <f>Obal!$Q$148</f>
        <v>4875000</v>
      </c>
      <c r="F24" s="352" t="s">
        <v>832</v>
      </c>
      <c r="G24" s="351"/>
      <c r="H24" s="350"/>
    </row>
    <row r="25" spans="1:23" s="337" customFormat="1">
      <c r="A25" s="285"/>
      <c r="E25" s="347"/>
    </row>
    <row r="26" spans="1:23" s="285" customFormat="1">
      <c r="A26" s="296" t="b">
        <f>IF(OR(mmSubProd1Seg1FinModel="SW - Deferral",mmSubProd1Seg1FinModel="Insurance"),FALSE,TRUE)</f>
        <v>0</v>
      </c>
      <c r="B26" s="334" t="s">
        <v>805</v>
      </c>
      <c r="C26" s="298" t="s">
        <v>831</v>
      </c>
      <c r="E26" s="287" t="s">
        <v>765</v>
      </c>
      <c r="F26" s="287" t="s">
        <v>764</v>
      </c>
      <c r="G26" s="287" t="s">
        <v>763</v>
      </c>
      <c r="H26" s="287" t="s">
        <v>762</v>
      </c>
      <c r="J26" s="337"/>
      <c r="K26" s="337"/>
      <c r="L26" s="337"/>
      <c r="M26" s="337"/>
      <c r="N26" s="337"/>
      <c r="O26" s="337"/>
      <c r="P26" s="337"/>
      <c r="Q26" s="337"/>
      <c r="R26" s="337"/>
      <c r="S26" s="337"/>
      <c r="T26" s="337"/>
      <c r="U26" s="337"/>
      <c r="V26" s="337"/>
      <c r="W26" s="337"/>
    </row>
    <row r="27" spans="1:23" s="285" customFormat="1">
      <c r="A27" s="296" t="b">
        <f>IF(OR(mmSubProd1Seg1FinModel="SW - Deferral",mmSubProd1Seg1FinModel="Insurance"),FALSE,TRUE)</f>
        <v>0</v>
      </c>
      <c r="C27" s="285" t="s">
        <v>821</v>
      </c>
      <c r="F27" s="325">
        <f>INDEX(dataProd1Seg1CloudRevGrowth,2)</f>
        <v>0.08</v>
      </c>
      <c r="G27" s="325">
        <f>INDEX(dataProd1Seg1CloudRevGrowth,3)</f>
        <v>0.10000000000000017</v>
      </c>
      <c r="H27" s="325">
        <f>INDEX(dataProd1Seg1CloudRevGrowth,4)</f>
        <v>0.12000000000000025</v>
      </c>
      <c r="J27" s="337"/>
      <c r="K27" s="337"/>
      <c r="L27" s="337"/>
      <c r="M27" s="337"/>
      <c r="N27" s="337"/>
      <c r="O27" s="337"/>
      <c r="P27" s="337"/>
      <c r="Q27" s="337"/>
      <c r="R27" s="337"/>
      <c r="S27" s="337"/>
      <c r="T27" s="337"/>
      <c r="U27" s="337"/>
      <c r="V27" s="337"/>
      <c r="W27" s="337"/>
    </row>
    <row r="28" spans="1:23" s="285" customFormat="1">
      <c r="A28" s="296" t="b">
        <f>IF(OR(mmSubProd1Seg1FinModel="SW - Deferral",mmSubProd1Seg1FinModel="Insurance"),FALSE,TRUE)</f>
        <v>0</v>
      </c>
      <c r="C28" s="285" t="s">
        <v>830</v>
      </c>
      <c r="E28" s="349">
        <f>INDEX(dataProd1Seg1CloudRev,1)</f>
        <v>77748000</v>
      </c>
      <c r="F28" s="335">
        <f>E28*(1+F27)</f>
        <v>83967840</v>
      </c>
      <c r="G28" s="335">
        <f>F28*(1+G27)</f>
        <v>92364624.000000015</v>
      </c>
      <c r="H28" s="335">
        <f>G28*(1+H27)</f>
        <v>103448378.88000004</v>
      </c>
      <c r="I28" s="285" t="s">
        <v>2140</v>
      </c>
      <c r="J28" s="337"/>
      <c r="K28" s="337"/>
      <c r="L28" s="337"/>
      <c r="M28" s="337"/>
      <c r="N28" s="337"/>
      <c r="O28" s="337"/>
      <c r="P28" s="337"/>
      <c r="Q28" s="337"/>
      <c r="R28" s="337"/>
      <c r="S28" s="337"/>
      <c r="T28" s="337"/>
      <c r="U28" s="337"/>
      <c r="V28" s="337"/>
      <c r="W28" s="337"/>
    </row>
    <row r="29" spans="1:23" s="337" customFormat="1">
      <c r="A29" s="296" t="b">
        <f t="shared" ref="A29:A40" si="0">IF(mmSubProd1Seg1FinModel="SW - Deferral",FALSE,TRUE)</f>
        <v>0</v>
      </c>
      <c r="E29" s="348"/>
    </row>
    <row r="30" spans="1:23" s="285" customFormat="1">
      <c r="A30" s="296" t="b">
        <f t="shared" si="0"/>
        <v>0</v>
      </c>
      <c r="B30" s="334" t="s">
        <v>805</v>
      </c>
      <c r="C30" s="298" t="s">
        <v>829</v>
      </c>
      <c r="E30" s="287" t="s">
        <v>765</v>
      </c>
      <c r="F30" s="287" t="s">
        <v>764</v>
      </c>
      <c r="G30" s="287" t="s">
        <v>763</v>
      </c>
      <c r="H30" s="287" t="s">
        <v>762</v>
      </c>
      <c r="J30" s="337"/>
      <c r="K30" s="337"/>
      <c r="L30" s="337"/>
      <c r="M30" s="337"/>
      <c r="N30" s="337"/>
      <c r="O30" s="337"/>
      <c r="P30" s="337"/>
      <c r="Q30" s="337"/>
      <c r="R30" s="337"/>
      <c r="S30" s="337"/>
      <c r="T30" s="337"/>
      <c r="U30" s="337"/>
      <c r="V30" s="337"/>
      <c r="W30" s="337"/>
    </row>
    <row r="31" spans="1:23" s="285" customFormat="1">
      <c r="A31" s="296" t="b">
        <f t="shared" si="0"/>
        <v>0</v>
      </c>
      <c r="C31" s="285" t="s">
        <v>214</v>
      </c>
      <c r="E31" s="335">
        <f>E21</f>
        <v>38124450.000000007</v>
      </c>
      <c r="F31" s="335">
        <f>E35</f>
        <v>39623549.999999993</v>
      </c>
      <c r="G31" s="335">
        <f>F35</f>
        <v>44344290.000000007</v>
      </c>
      <c r="H31" s="335">
        <f>G35</f>
        <v>48020334.000000007</v>
      </c>
      <c r="J31" s="337"/>
      <c r="K31" s="337"/>
      <c r="L31" s="337"/>
      <c r="M31" s="337"/>
      <c r="N31" s="337"/>
      <c r="O31" s="337"/>
      <c r="P31" s="337"/>
      <c r="Q31" s="337"/>
      <c r="R31" s="337"/>
      <c r="S31" s="337"/>
      <c r="T31" s="337"/>
      <c r="U31" s="337"/>
      <c r="V31" s="337"/>
      <c r="W31" s="337"/>
    </row>
    <row r="32" spans="1:23" s="285" customFormat="1">
      <c r="A32" s="296" t="b">
        <f t="shared" si="0"/>
        <v>0</v>
      </c>
      <c r="C32" s="285" t="s">
        <v>828</v>
      </c>
      <c r="E32" s="335">
        <f>E31*IF($E$16=1,0,IF($E$16=2,1,IF($E$16=3,0.5)))*-1</f>
        <v>-38124450.000000007</v>
      </c>
      <c r="F32" s="335">
        <f>F31*IF($E$16=1,0,IF($E$16=2,1,IF($E$16=3,0.5)))*-1</f>
        <v>-39623549.999999993</v>
      </c>
      <c r="G32" s="335">
        <f>G31*IF($E$16=1,0,IF($E$16=2,1,IF($E$16=3,0.5)))*-1</f>
        <v>-44344290.000000007</v>
      </c>
      <c r="H32" s="335">
        <f>H31*IF($E$16=1,0,IF($E$16=2,1,IF($E$16=3,0.5)))*-1</f>
        <v>-48020334.000000007</v>
      </c>
      <c r="J32" s="337"/>
      <c r="K32" s="337"/>
      <c r="L32" s="337"/>
      <c r="M32" s="337"/>
      <c r="N32" s="337"/>
      <c r="O32" s="337"/>
      <c r="P32" s="337"/>
      <c r="Q32" s="337"/>
      <c r="R32" s="337"/>
      <c r="S32" s="337"/>
      <c r="T32" s="337"/>
      <c r="U32" s="337"/>
      <c r="V32" s="337"/>
      <c r="W32" s="337"/>
    </row>
    <row r="33" spans="1:23" s="285" customFormat="1">
      <c r="A33" s="296" t="b">
        <f t="shared" si="0"/>
        <v>0</v>
      </c>
      <c r="C33" s="285" t="s">
        <v>827</v>
      </c>
      <c r="E33" s="335">
        <f>E40*$E$20</f>
        <v>39623549.999999993</v>
      </c>
      <c r="F33" s="335">
        <f>F40*$E$20</f>
        <v>44344290.000000007</v>
      </c>
      <c r="G33" s="335">
        <f>G40*$E$20</f>
        <v>48020334.000000007</v>
      </c>
      <c r="H33" s="335">
        <f>H40*$E$20</f>
        <v>55428044.880000032</v>
      </c>
      <c r="J33" s="337"/>
      <c r="K33" s="337"/>
      <c r="L33" s="337"/>
      <c r="M33" s="337"/>
      <c r="N33" s="337"/>
      <c r="O33" s="337"/>
      <c r="P33" s="337"/>
      <c r="Q33" s="337"/>
      <c r="R33" s="337"/>
      <c r="S33" s="337"/>
      <c r="T33" s="337"/>
      <c r="U33" s="337"/>
      <c r="V33" s="337"/>
      <c r="W33" s="337"/>
    </row>
    <row r="34" spans="1:23" s="309" customFormat="1" ht="2.1" customHeight="1">
      <c r="A34" s="296" t="b">
        <f t="shared" si="0"/>
        <v>0</v>
      </c>
      <c r="B34" s="285"/>
      <c r="C34" s="310"/>
      <c r="D34" s="312"/>
      <c r="E34" s="312"/>
      <c r="F34" s="311"/>
      <c r="G34" s="311"/>
      <c r="H34" s="311"/>
      <c r="J34" s="337"/>
      <c r="K34" s="337"/>
      <c r="L34" s="337"/>
      <c r="M34" s="337"/>
      <c r="N34" s="337"/>
      <c r="O34" s="337"/>
      <c r="P34" s="337"/>
      <c r="Q34" s="337"/>
      <c r="R34" s="337"/>
      <c r="S34" s="337"/>
      <c r="T34" s="337"/>
      <c r="U34" s="337"/>
      <c r="V34" s="337"/>
      <c r="W34" s="337"/>
    </row>
    <row r="35" spans="1:23" s="285" customFormat="1">
      <c r="A35" s="296" t="b">
        <f t="shared" si="0"/>
        <v>0</v>
      </c>
      <c r="C35" s="285" t="s">
        <v>215</v>
      </c>
      <c r="E35" s="335">
        <f>SUM(E31:E33)</f>
        <v>39623549.999999993</v>
      </c>
      <c r="F35" s="335">
        <f>SUM(F31:F33)</f>
        <v>44344290.000000007</v>
      </c>
      <c r="G35" s="335">
        <f>SUM(G31:G33)</f>
        <v>48020334.000000007</v>
      </c>
      <c r="H35" s="335">
        <f>SUM(H31:H33)</f>
        <v>55428044.880000032</v>
      </c>
      <c r="J35" s="337"/>
      <c r="K35" s="337"/>
      <c r="L35" s="337"/>
      <c r="M35" s="337"/>
      <c r="N35" s="337"/>
      <c r="O35" s="337"/>
      <c r="P35" s="337"/>
      <c r="Q35" s="337"/>
      <c r="R35" s="337"/>
      <c r="S35" s="337"/>
      <c r="T35" s="337"/>
      <c r="U35" s="337"/>
      <c r="V35" s="337"/>
      <c r="W35" s="337"/>
    </row>
    <row r="36" spans="1:23" s="337" customFormat="1">
      <c r="A36" s="296" t="b">
        <f t="shared" si="0"/>
        <v>0</v>
      </c>
      <c r="E36" s="347"/>
    </row>
    <row r="37" spans="1:23" s="285" customFormat="1">
      <c r="A37" s="296" t="b">
        <f t="shared" si="0"/>
        <v>0</v>
      </c>
      <c r="B37" s="334" t="s">
        <v>805</v>
      </c>
      <c r="C37" s="298" t="s">
        <v>826</v>
      </c>
      <c r="E37" s="287" t="s">
        <v>765</v>
      </c>
      <c r="F37" s="287" t="s">
        <v>764</v>
      </c>
      <c r="G37" s="287" t="s">
        <v>763</v>
      </c>
      <c r="H37" s="287" t="s">
        <v>762</v>
      </c>
      <c r="J37" s="337"/>
      <c r="K37" s="337"/>
      <c r="L37" s="337"/>
      <c r="M37" s="337"/>
      <c r="N37" s="337"/>
      <c r="O37" s="337"/>
      <c r="P37" s="337"/>
      <c r="Q37" s="337"/>
      <c r="R37" s="337"/>
      <c r="S37" s="337"/>
      <c r="T37" s="337"/>
      <c r="U37" s="337"/>
      <c r="V37" s="337"/>
      <c r="W37" s="337"/>
    </row>
    <row r="38" spans="1:23" s="285" customFormat="1">
      <c r="A38" s="296" t="b">
        <f t="shared" si="0"/>
        <v>0</v>
      </c>
      <c r="C38" s="285" t="s">
        <v>825</v>
      </c>
      <c r="E38" s="335">
        <f>-1*E32</f>
        <v>38124450.000000007</v>
      </c>
      <c r="F38" s="335">
        <f>-1*F32</f>
        <v>39623549.999999993</v>
      </c>
      <c r="G38" s="335">
        <f>-1*G32</f>
        <v>44344290.000000007</v>
      </c>
      <c r="H38" s="335">
        <f>-1*H32</f>
        <v>48020334.000000007</v>
      </c>
      <c r="J38" s="337"/>
      <c r="K38" s="337"/>
      <c r="L38" s="337"/>
      <c r="M38" s="337"/>
      <c r="N38" s="337"/>
      <c r="O38" s="337"/>
      <c r="P38" s="337"/>
      <c r="Q38" s="337"/>
      <c r="R38" s="337"/>
      <c r="S38" s="337"/>
      <c r="T38" s="337"/>
      <c r="U38" s="337"/>
      <c r="V38" s="337"/>
      <c r="W38" s="337"/>
    </row>
    <row r="39" spans="1:23" s="285" customFormat="1">
      <c r="A39" s="296" t="b">
        <f t="shared" si="0"/>
        <v>0</v>
      </c>
      <c r="C39" s="285" t="s">
        <v>824</v>
      </c>
      <c r="E39" s="335">
        <f>E28-E38</f>
        <v>39623549.999999993</v>
      </c>
      <c r="F39" s="335">
        <f>F28-F38</f>
        <v>44344290.000000007</v>
      </c>
      <c r="G39" s="335">
        <f>G28-G38</f>
        <v>48020334.000000007</v>
      </c>
      <c r="H39" s="335">
        <f>H28-H38</f>
        <v>55428044.880000032</v>
      </c>
      <c r="J39" s="337"/>
      <c r="K39" s="337"/>
      <c r="L39" s="337"/>
      <c r="M39" s="337"/>
      <c r="N39" s="337"/>
      <c r="O39" s="337"/>
      <c r="P39" s="337"/>
      <c r="Q39" s="337"/>
      <c r="R39" s="337"/>
      <c r="S39" s="337"/>
      <c r="T39" s="337"/>
      <c r="U39" s="337"/>
      <c r="V39" s="337"/>
      <c r="W39" s="337"/>
    </row>
    <row r="40" spans="1:23" s="285" customFormat="1">
      <c r="A40" s="296" t="b">
        <f t="shared" si="0"/>
        <v>0</v>
      </c>
      <c r="C40" s="285" t="s">
        <v>823</v>
      </c>
      <c r="E40" s="335">
        <f>E39*$E$16</f>
        <v>79247099.999999985</v>
      </c>
      <c r="F40" s="335">
        <f>F39*$E$16</f>
        <v>88688580.000000015</v>
      </c>
      <c r="G40" s="335">
        <f>G39*$E$16</f>
        <v>96040668.000000015</v>
      </c>
      <c r="H40" s="335">
        <f>H39*$E$16</f>
        <v>110856089.76000006</v>
      </c>
      <c r="I40" s="285" t="s">
        <v>2141</v>
      </c>
      <c r="J40" s="337"/>
      <c r="K40" s="337"/>
      <c r="L40" s="337"/>
      <c r="M40" s="337"/>
      <c r="N40" s="337"/>
      <c r="O40" s="337"/>
      <c r="P40" s="337"/>
      <c r="Q40" s="337"/>
      <c r="R40" s="337"/>
      <c r="S40" s="337"/>
      <c r="T40" s="337"/>
      <c r="U40" s="337"/>
      <c r="V40" s="337"/>
      <c r="W40" s="337"/>
    </row>
    <row r="41" spans="1:23" s="285" customFormat="1" hidden="1">
      <c r="A41" s="296" t="b">
        <f t="shared" ref="A41:A53" si="1">IF(mmSubProd1Seg1FinModel="SW - Recurring Revenue",FALSE,TRUE)</f>
        <v>1</v>
      </c>
      <c r="C41" s="298" t="s">
        <v>822</v>
      </c>
      <c r="E41" s="345" t="s">
        <v>765</v>
      </c>
      <c r="F41" s="345" t="s">
        <v>764</v>
      </c>
      <c r="G41" s="345" t="s">
        <v>763</v>
      </c>
      <c r="H41" s="345" t="s">
        <v>762</v>
      </c>
      <c r="J41" s="337"/>
      <c r="K41" s="337"/>
      <c r="L41" s="337"/>
      <c r="M41" s="337"/>
      <c r="N41" s="337"/>
      <c r="O41" s="337"/>
      <c r="P41" s="337"/>
      <c r="Q41" s="337"/>
      <c r="R41" s="337"/>
      <c r="S41" s="337"/>
      <c r="T41" s="337"/>
      <c r="U41" s="337"/>
      <c r="V41" s="337"/>
      <c r="W41" s="337"/>
    </row>
    <row r="42" spans="1:23" s="285" customFormat="1" hidden="1">
      <c r="A42" s="296" t="b">
        <f t="shared" si="1"/>
        <v>1</v>
      </c>
      <c r="C42" s="285" t="s">
        <v>821</v>
      </c>
      <c r="E42" s="300"/>
      <c r="F42" s="344">
        <v>0.1</v>
      </c>
      <c r="G42" s="344">
        <v>0.1</v>
      </c>
      <c r="H42" s="344">
        <v>0.1</v>
      </c>
      <c r="J42" s="337"/>
      <c r="K42" s="337"/>
      <c r="L42" s="337"/>
      <c r="M42" s="337"/>
      <c r="N42" s="337"/>
      <c r="O42" s="337"/>
      <c r="P42" s="337"/>
      <c r="Q42" s="337"/>
      <c r="R42" s="337"/>
      <c r="S42" s="337"/>
      <c r="T42" s="337"/>
      <c r="U42" s="337"/>
      <c r="V42" s="337"/>
      <c r="W42" s="337"/>
    </row>
    <row r="43" spans="1:23" s="285" customFormat="1" hidden="1">
      <c r="A43" s="296" t="b">
        <f t="shared" si="1"/>
        <v>1</v>
      </c>
      <c r="C43" s="285" t="s">
        <v>820</v>
      </c>
      <c r="E43" s="343">
        <v>11000000</v>
      </c>
      <c r="F43" s="335">
        <f>E43*(1+F42)</f>
        <v>12100000.000000002</v>
      </c>
      <c r="G43" s="335">
        <f>F43*(1+G42)</f>
        <v>13310000.000000004</v>
      </c>
      <c r="H43" s="335">
        <f>G43*(1+H42)</f>
        <v>14641000.000000006</v>
      </c>
      <c r="I43" s="285" t="s">
        <v>2142</v>
      </c>
      <c r="J43" s="337"/>
      <c r="K43" s="337"/>
      <c r="L43" s="337"/>
      <c r="M43" s="337"/>
      <c r="N43" s="337"/>
      <c r="O43" s="337"/>
      <c r="P43" s="337"/>
      <c r="Q43" s="337"/>
      <c r="R43" s="337"/>
      <c r="S43" s="337"/>
      <c r="T43" s="337"/>
      <c r="U43" s="337"/>
      <c r="V43" s="337"/>
      <c r="W43" s="337"/>
    </row>
    <row r="44" spans="1:23" s="285" customFormat="1" hidden="1">
      <c r="A44" s="296" t="b">
        <f t="shared" si="1"/>
        <v>1</v>
      </c>
      <c r="J44" s="337"/>
      <c r="K44" s="337"/>
      <c r="L44" s="337"/>
      <c r="M44" s="337"/>
      <c r="N44" s="337"/>
      <c r="O44" s="337"/>
      <c r="P44" s="337"/>
      <c r="Q44" s="337"/>
      <c r="R44" s="337"/>
      <c r="S44" s="337"/>
      <c r="T44" s="337"/>
      <c r="U44" s="337"/>
      <c r="V44" s="337"/>
      <c r="W44" s="337"/>
    </row>
    <row r="45" spans="1:23" s="285" customFormat="1" hidden="1">
      <c r="A45" s="296" t="b">
        <f t="shared" si="1"/>
        <v>1</v>
      </c>
      <c r="C45" s="298" t="s">
        <v>819</v>
      </c>
      <c r="J45" s="337"/>
      <c r="K45" s="337"/>
      <c r="L45" s="337"/>
      <c r="M45" s="337"/>
      <c r="N45" s="337"/>
      <c r="O45" s="337"/>
      <c r="P45" s="337"/>
      <c r="Q45" s="337"/>
      <c r="R45" s="337"/>
      <c r="S45" s="337"/>
      <c r="T45" s="337"/>
      <c r="U45" s="337"/>
      <c r="V45" s="337"/>
      <c r="W45" s="337"/>
    </row>
    <row r="46" spans="1:23" s="285" customFormat="1" hidden="1">
      <c r="A46" s="296" t="b">
        <f t="shared" si="1"/>
        <v>1</v>
      </c>
      <c r="C46" s="285" t="s">
        <v>818</v>
      </c>
      <c r="E46" s="335">
        <f>E22</f>
        <v>9000000</v>
      </c>
      <c r="F46" s="335">
        <f>E43</f>
        <v>11000000</v>
      </c>
      <c r="G46" s="335">
        <f>F43</f>
        <v>12100000.000000002</v>
      </c>
      <c r="H46" s="335">
        <f>G43</f>
        <v>13310000.000000004</v>
      </c>
      <c r="J46" s="337"/>
      <c r="K46" s="337"/>
      <c r="L46" s="337"/>
      <c r="M46" s="337"/>
      <c r="N46" s="337"/>
      <c r="O46" s="337"/>
      <c r="P46" s="337"/>
      <c r="Q46" s="337"/>
      <c r="R46" s="337"/>
      <c r="S46" s="337"/>
      <c r="T46" s="337"/>
      <c r="U46" s="337"/>
      <c r="V46" s="337"/>
      <c r="W46" s="337"/>
    </row>
    <row r="47" spans="1:23" s="285" customFormat="1" hidden="1">
      <c r="A47" s="296" t="b">
        <f t="shared" si="1"/>
        <v>1</v>
      </c>
      <c r="C47" s="285" t="s">
        <v>817</v>
      </c>
      <c r="E47" s="335">
        <f>E43-E46</f>
        <v>2000000</v>
      </c>
      <c r="F47" s="335">
        <f>F43-F46</f>
        <v>1100000.0000000019</v>
      </c>
      <c r="G47" s="335">
        <f>G43-G46</f>
        <v>1210000.0000000019</v>
      </c>
      <c r="H47" s="335">
        <f>H43-H46</f>
        <v>1331000.0000000019</v>
      </c>
      <c r="I47" s="285" t="s">
        <v>2143</v>
      </c>
      <c r="J47" s="337"/>
      <c r="K47" s="337"/>
      <c r="L47" s="337"/>
      <c r="M47" s="337"/>
      <c r="N47" s="337"/>
      <c r="O47" s="337"/>
      <c r="P47" s="337"/>
      <c r="Q47" s="337"/>
      <c r="R47" s="337"/>
      <c r="S47" s="337"/>
      <c r="T47" s="337"/>
      <c r="U47" s="337"/>
      <c r="V47" s="337"/>
      <c r="W47" s="337"/>
    </row>
    <row r="48" spans="1:23" s="285" customFormat="1" hidden="1">
      <c r="A48" s="296" t="b">
        <f t="shared" si="1"/>
        <v>1</v>
      </c>
      <c r="J48" s="337"/>
      <c r="K48" s="337"/>
      <c r="L48" s="337"/>
      <c r="M48" s="337"/>
      <c r="N48" s="337"/>
      <c r="O48" s="337"/>
      <c r="P48" s="337"/>
      <c r="Q48" s="337"/>
      <c r="R48" s="337"/>
      <c r="S48" s="337"/>
      <c r="T48" s="337"/>
      <c r="U48" s="337"/>
      <c r="V48" s="337"/>
      <c r="W48" s="337"/>
    </row>
    <row r="49" spans="1:23" s="285" customFormat="1" hidden="1">
      <c r="A49" s="296" t="b">
        <f t="shared" si="1"/>
        <v>1</v>
      </c>
      <c r="C49" s="285" t="s">
        <v>816</v>
      </c>
      <c r="E49" s="335">
        <f>$E$22+E47*$E$19</f>
        <v>9750000</v>
      </c>
      <c r="F49" s="335">
        <f>F46+F47*$E$19</f>
        <v>11412500</v>
      </c>
      <c r="G49" s="335">
        <f>G46+G47*$E$19</f>
        <v>12553750.000000002</v>
      </c>
      <c r="H49" s="335">
        <f>H46+H47*$E$19</f>
        <v>13809125.000000004</v>
      </c>
      <c r="J49" s="337"/>
      <c r="K49" s="337"/>
      <c r="L49" s="337"/>
      <c r="M49" s="337"/>
      <c r="N49" s="337"/>
      <c r="O49" s="337"/>
      <c r="P49" s="337"/>
      <c r="Q49" s="337"/>
      <c r="R49" s="337"/>
      <c r="S49" s="337"/>
      <c r="T49" s="337"/>
      <c r="U49" s="337"/>
      <c r="V49" s="337"/>
      <c r="W49" s="337"/>
    </row>
    <row r="50" spans="1:23" s="285" customFormat="1" hidden="1">
      <c r="A50" s="296" t="b">
        <f t="shared" si="1"/>
        <v>1</v>
      </c>
      <c r="J50" s="337"/>
      <c r="K50" s="337"/>
      <c r="L50" s="337"/>
      <c r="M50" s="337"/>
      <c r="N50" s="337"/>
      <c r="O50" s="337"/>
      <c r="P50" s="337"/>
      <c r="Q50" s="337"/>
      <c r="R50" s="337"/>
      <c r="S50" s="337"/>
      <c r="T50" s="337"/>
      <c r="U50" s="337"/>
      <c r="V50" s="337"/>
      <c r="W50" s="337"/>
    </row>
    <row r="51" spans="1:23" s="285" customFormat="1" hidden="1">
      <c r="A51" s="296" t="b">
        <f t="shared" si="1"/>
        <v>1</v>
      </c>
      <c r="C51" s="285" t="s">
        <v>808</v>
      </c>
      <c r="E51" s="325">
        <v>0.8</v>
      </c>
      <c r="F51" s="325">
        <v>0.8</v>
      </c>
      <c r="G51" s="325">
        <v>0.8</v>
      </c>
      <c r="H51" s="325">
        <v>0.8</v>
      </c>
      <c r="J51" s="337"/>
      <c r="K51" s="337"/>
      <c r="L51" s="337"/>
      <c r="M51" s="337"/>
      <c r="N51" s="337"/>
      <c r="O51" s="337"/>
      <c r="P51" s="337"/>
      <c r="Q51" s="337"/>
      <c r="R51" s="337"/>
      <c r="S51" s="337"/>
      <c r="T51" s="337"/>
      <c r="U51" s="337"/>
      <c r="V51" s="337"/>
      <c r="W51" s="337"/>
    </row>
    <row r="52" spans="1:23" s="285" customFormat="1" hidden="1">
      <c r="A52" s="296" t="b">
        <f t="shared" si="1"/>
        <v>1</v>
      </c>
      <c r="C52" s="285" t="s">
        <v>815</v>
      </c>
      <c r="E52" s="335">
        <f>-1*E24*$E$23*(1-E51)</f>
        <v>-14624999.999999996</v>
      </c>
      <c r="F52" s="335">
        <f>-1*SUM(E62:E63)*$E$23*(1-F51)</f>
        <v>-15849419.999999994</v>
      </c>
      <c r="G52" s="335">
        <f>-1*SUM(F62:F63)*$E$23*(1-G51)</f>
        <v>-17737716</v>
      </c>
      <c r="H52" s="335">
        <f>-1*SUM(G62:G63)*$E$23*(1-H51)</f>
        <v>-19208133.599999998</v>
      </c>
      <c r="J52" s="337"/>
      <c r="K52" s="337"/>
      <c r="L52" s="337"/>
      <c r="M52" s="337"/>
      <c r="N52" s="337"/>
      <c r="O52" s="337"/>
      <c r="P52" s="337"/>
      <c r="Q52" s="337"/>
      <c r="R52" s="337"/>
      <c r="S52" s="337"/>
      <c r="T52" s="337"/>
      <c r="U52" s="337"/>
      <c r="V52" s="337"/>
      <c r="W52" s="337"/>
    </row>
    <row r="53" spans="1:23" s="285" customFormat="1" hidden="1">
      <c r="A53" s="296" t="b">
        <f t="shared" si="1"/>
        <v>1</v>
      </c>
      <c r="C53" s="285" t="s">
        <v>814</v>
      </c>
      <c r="E53" s="335">
        <f>E47-E52</f>
        <v>16624999.999999996</v>
      </c>
      <c r="F53" s="335">
        <f>F47-F52</f>
        <v>16949419.999999996</v>
      </c>
      <c r="G53" s="335">
        <f>G47-G52</f>
        <v>18947716</v>
      </c>
      <c r="H53" s="335">
        <f>H47-H52</f>
        <v>20539133.600000001</v>
      </c>
      <c r="J53" s="337"/>
      <c r="K53" s="337"/>
      <c r="L53" s="337"/>
      <c r="M53" s="337"/>
      <c r="N53" s="337"/>
      <c r="O53" s="337"/>
      <c r="P53" s="337"/>
      <c r="Q53" s="337"/>
      <c r="R53" s="337"/>
      <c r="S53" s="337"/>
      <c r="T53" s="337"/>
      <c r="U53" s="337"/>
      <c r="V53" s="337"/>
      <c r="W53" s="337"/>
    </row>
    <row r="54" spans="1:23" s="285" customFormat="1">
      <c r="A54" s="296" t="b">
        <f>IF(OR(mmSubProd1Seg1FinModel="SW - Deferral",mmSubProd1Seg1FinModel="Insurance"),FALSE,TRUE)</f>
        <v>0</v>
      </c>
      <c r="E54" s="300"/>
      <c r="F54" s="300"/>
      <c r="G54" s="300"/>
      <c r="H54" s="300"/>
      <c r="J54" s="337"/>
      <c r="K54" s="337"/>
      <c r="L54" s="337"/>
      <c r="M54" s="337"/>
      <c r="N54" s="337"/>
      <c r="O54" s="337"/>
      <c r="P54" s="337"/>
      <c r="Q54" s="337"/>
      <c r="R54" s="337"/>
      <c r="S54" s="337"/>
      <c r="T54" s="337"/>
      <c r="U54" s="337"/>
      <c r="V54" s="337"/>
      <c r="W54" s="337"/>
    </row>
    <row r="55" spans="1:23" s="285" customFormat="1">
      <c r="A55" s="296" t="b">
        <f>IF(OR(mmSubProd1Seg1FinModel="SW - Deferral",mmSubProd1Seg1FinModel="Insurance"),FALSE,TRUE)</f>
        <v>0</v>
      </c>
      <c r="B55" s="334" t="s">
        <v>805</v>
      </c>
      <c r="C55" s="298" t="s">
        <v>813</v>
      </c>
      <c r="E55" s="287" t="s">
        <v>765</v>
      </c>
      <c r="F55" s="287" t="s">
        <v>764</v>
      </c>
      <c r="G55" s="287" t="s">
        <v>763</v>
      </c>
      <c r="H55" s="287" t="s">
        <v>762</v>
      </c>
      <c r="J55" s="337"/>
      <c r="K55" s="337"/>
      <c r="L55" s="337"/>
      <c r="M55" s="337"/>
      <c r="N55" s="337"/>
      <c r="O55" s="337"/>
      <c r="P55" s="337"/>
      <c r="Q55" s="337"/>
      <c r="R55" s="337"/>
      <c r="S55" s="337"/>
      <c r="T55" s="337"/>
      <c r="U55" s="337"/>
      <c r="V55" s="337"/>
      <c r="W55" s="337"/>
    </row>
    <row r="56" spans="1:23" s="285" customFormat="1">
      <c r="A56" s="296" t="b">
        <f>IF(OR(mmSubProd1Seg1FinModel="SW - Deferral",mmSubProd1Seg1FinModel="Insurance"),FALSE,TRUE)</f>
        <v>0</v>
      </c>
      <c r="C56" s="285" t="s">
        <v>812</v>
      </c>
      <c r="E56" s="335">
        <f>IF(OR(mmSubProd1Seg1FinModel="SW - Deferral",mmSubProd1Seg1FinModel="Insurance"),E40/$E$23,0)</f>
        <v>5283139.9999999991</v>
      </c>
      <c r="F56" s="335">
        <f>IF(OR(mmSubProd1Seg1FinModel="SW - Deferral",mmSubProd1Seg1FinModel="Insurance"),F40/$E$23,0)</f>
        <v>5912572.0000000009</v>
      </c>
      <c r="G56" s="335">
        <f>IF(OR(mmSubProd1Seg1FinModel="SW - Deferral",mmSubProd1Seg1FinModel="Insurance"),G40/$E$23,0)</f>
        <v>6402711.2000000011</v>
      </c>
      <c r="H56" s="335">
        <f>IF(OR(mmSubProd1Seg1FinModel="SW - Deferral",mmSubProd1Seg1FinModel="Insurance"),H40/$E$23,0)</f>
        <v>7390405.9840000039</v>
      </c>
      <c r="J56" s="337"/>
      <c r="K56" s="337"/>
      <c r="L56" s="337"/>
      <c r="M56" s="337"/>
      <c r="N56" s="337"/>
      <c r="O56" s="337"/>
      <c r="P56" s="337"/>
      <c r="Q56" s="337"/>
      <c r="R56" s="337"/>
      <c r="S56" s="337"/>
      <c r="T56" s="337"/>
      <c r="U56" s="337"/>
      <c r="V56" s="337"/>
      <c r="W56" s="337"/>
    </row>
    <row r="57" spans="1:23" s="337" customFormat="1">
      <c r="A57" s="285"/>
      <c r="E57" s="342"/>
      <c r="F57" s="342"/>
      <c r="G57" s="342"/>
      <c r="H57" s="342"/>
    </row>
    <row r="58" spans="1:23" s="285" customFormat="1">
      <c r="B58" s="334" t="s">
        <v>805</v>
      </c>
      <c r="C58" s="298" t="s">
        <v>811</v>
      </c>
      <c r="E58" s="287" t="s">
        <v>765</v>
      </c>
      <c r="F58" s="287" t="s">
        <v>764</v>
      </c>
      <c r="G58" s="287" t="s">
        <v>763</v>
      </c>
      <c r="H58" s="287" t="s">
        <v>762</v>
      </c>
      <c r="J58" s="337"/>
      <c r="K58" s="337"/>
      <c r="L58" s="337"/>
      <c r="M58" s="337"/>
      <c r="N58" s="337"/>
      <c r="O58" s="337"/>
      <c r="P58" s="337"/>
      <c r="Q58" s="337"/>
      <c r="R58" s="337"/>
      <c r="S58" s="337"/>
      <c r="T58" s="337"/>
      <c r="U58" s="337"/>
      <c r="V58" s="337"/>
      <c r="W58" s="337"/>
    </row>
    <row r="59" spans="1:23" s="285" customFormat="1" hidden="1">
      <c r="A59" s="296" t="b">
        <f>IF(mmSubProd1Seg1FinModel="Insurance",FALSE,TRUE)</f>
        <v>1</v>
      </c>
      <c r="C59" s="285" t="s">
        <v>810</v>
      </c>
      <c r="E59" s="317">
        <v>1.4999999999999999E-2</v>
      </c>
      <c r="F59" s="317">
        <v>1.4999999999999999E-2</v>
      </c>
      <c r="G59" s="317">
        <v>1.4999999999999999E-2</v>
      </c>
      <c r="H59" s="317">
        <v>1.4999999999999999E-2</v>
      </c>
      <c r="J59" s="337"/>
      <c r="K59" s="337"/>
      <c r="L59" s="337"/>
      <c r="M59" s="337"/>
      <c r="N59" s="337"/>
      <c r="O59" s="337"/>
      <c r="P59" s="337"/>
      <c r="Q59" s="337"/>
      <c r="R59" s="337"/>
      <c r="S59" s="337"/>
      <c r="T59" s="337"/>
      <c r="U59" s="337"/>
      <c r="V59" s="337"/>
      <c r="W59" s="337"/>
    </row>
    <row r="60" spans="1:23" s="285" customFormat="1" hidden="1">
      <c r="A60" s="296" t="b">
        <f>IF(mmSubProd1Seg1FinModel="Insurance",FALSE,TRUE)</f>
        <v>1</v>
      </c>
      <c r="C60" s="285" t="s">
        <v>809</v>
      </c>
      <c r="E60" s="335">
        <f>E24*E59*(mmSubProd1Seg1FinModel="Insurance")*(-1)</f>
        <v>0</v>
      </c>
      <c r="F60" s="335">
        <f>SUM(E62,E63)*F59*(mmSubProd1Seg1FinModel="Insurance")*(-1)</f>
        <v>0</v>
      </c>
      <c r="G60" s="335">
        <f>SUM(F62,F63)*G59*(mmSubProd1Seg1FinModel="Insurance")*(-1)</f>
        <v>0</v>
      </c>
      <c r="H60" s="335">
        <f>SUM(G62,G63)*H59*(mmSubProd1Seg1FinModel="Insurance")*(-1)</f>
        <v>0</v>
      </c>
      <c r="J60" s="337"/>
      <c r="K60" s="337"/>
      <c r="L60" s="337"/>
      <c r="M60" s="337"/>
      <c r="N60" s="337"/>
      <c r="O60" s="337"/>
      <c r="P60" s="337"/>
      <c r="Q60" s="337"/>
      <c r="R60" s="337"/>
      <c r="S60" s="337"/>
      <c r="T60" s="337"/>
      <c r="U60" s="337"/>
      <c r="V60" s="337"/>
      <c r="W60" s="337"/>
    </row>
    <row r="61" spans="1:23" s="285" customFormat="1">
      <c r="A61" s="296" t="b">
        <f>IF(OR(mmSubProd1Seg1FinModel="SW - Deferral",mmSubProd1Seg1FinModel="Insurance"),FALSE,TRUE)</f>
        <v>0</v>
      </c>
      <c r="C61" s="285" t="s">
        <v>808</v>
      </c>
      <c r="E61" s="325">
        <v>0.7</v>
      </c>
      <c r="F61" s="325">
        <v>0.7</v>
      </c>
      <c r="G61" s="325">
        <v>0.7</v>
      </c>
      <c r="H61" s="325">
        <v>0.7</v>
      </c>
      <c r="I61" s="302" t="s">
        <v>807</v>
      </c>
      <c r="J61" s="337"/>
      <c r="K61" s="337"/>
      <c r="L61" s="337"/>
      <c r="M61" s="337"/>
      <c r="N61" s="337"/>
      <c r="O61" s="337"/>
      <c r="P61" s="337"/>
      <c r="Q61" s="337"/>
      <c r="R61" s="337"/>
      <c r="S61" s="337"/>
      <c r="T61" s="337"/>
      <c r="U61" s="337"/>
      <c r="V61" s="337"/>
      <c r="W61" s="337"/>
    </row>
    <row r="62" spans="1:23" s="285" customFormat="1">
      <c r="C62" s="285" t="s">
        <v>768</v>
      </c>
      <c r="E62" s="335">
        <f>E24*IF(OR(mmSubProd1Seg1FinModel="SW - Deferral",mmSubProd1Seg1FinModel="Insurance"),E61,E51)+E60</f>
        <v>3412500</v>
      </c>
      <c r="F62" s="335">
        <f>SUM(E62,E63)*IF(OR(mmSubProd1Seg1FinModel="SW - Deferral",mmSubProd1Seg1FinModel="Insurance"),F61,F51)+F60</f>
        <v>3698197.9999999991</v>
      </c>
      <c r="G62" s="335">
        <f>SUM(F62,F63)*IF(OR(mmSubProd1Seg1FinModel="SW - Deferral",mmSubProd1Seg1FinModel="Insurance"),G61,G51)+G60</f>
        <v>4138800.4000000004</v>
      </c>
      <c r="H62" s="335">
        <f>SUM(G62,G63)*IF(OR(mmSubProd1Seg1FinModel="SW - Deferral",mmSubProd1Seg1FinModel="Insurance"),H61,H51)+H60</f>
        <v>4481897.8400000008</v>
      </c>
      <c r="J62" s="337"/>
      <c r="K62" s="337"/>
      <c r="L62" s="337"/>
      <c r="M62" s="337"/>
      <c r="N62" s="337"/>
      <c r="O62" s="337"/>
      <c r="P62" s="337"/>
      <c r="Q62" s="337"/>
      <c r="R62" s="337"/>
      <c r="S62" s="337"/>
      <c r="T62" s="337"/>
      <c r="U62" s="337"/>
      <c r="V62" s="337"/>
      <c r="W62" s="337"/>
    </row>
    <row r="63" spans="1:23" s="285" customFormat="1">
      <c r="C63" s="285" t="s">
        <v>806</v>
      </c>
      <c r="E63" s="335">
        <f>IF(mmSubProd1Seg1FinModel="SW - Deferral",E56-E62,IF(mmSubProd1Seg1FinModel="Insurance",E56-E62,E53/$E$23))</f>
        <v>1870639.9999999991</v>
      </c>
      <c r="F63" s="335">
        <f>IF(mmSubProd1Seg1FinModel="SW - Deferral",F56-F62,IF(mmSubProd1Seg1FinModel="Insurance",F56-F62,F53/$E$23))</f>
        <v>2214374.0000000019</v>
      </c>
      <c r="G63" s="335">
        <f>IF(mmSubProd1Seg1FinModel="SW - Deferral",G56-G62,IF(mmSubProd1Seg1FinModel="Insurance",G56-G62,G53/$E$23))</f>
        <v>2263910.8000000007</v>
      </c>
      <c r="H63" s="335">
        <f>IF(mmSubProd1Seg1FinModel="SW - Deferral",H56-H62,IF(mmSubProd1Seg1FinModel="Insurance",H56-H62,H53/$E$23))</f>
        <v>2908508.1440000031</v>
      </c>
      <c r="I63" s="302" t="str">
        <f>IF(mmSubProd1Seg1AttachSwitch="no","**This value times 5 determines mmSubProd1Seg1NewTAM","")</f>
        <v>**This value times 5 determines mmSubProd1Seg1NewTAM</v>
      </c>
      <c r="J63" s="337"/>
      <c r="K63" s="337"/>
      <c r="L63" s="337"/>
      <c r="M63" s="337"/>
      <c r="N63" s="337"/>
      <c r="O63" s="337"/>
      <c r="P63" s="337"/>
      <c r="Q63" s="337"/>
      <c r="R63" s="337"/>
      <c r="S63" s="337"/>
      <c r="T63" s="337"/>
      <c r="U63" s="337"/>
      <c r="V63" s="337"/>
      <c r="W63" s="337"/>
    </row>
    <row r="64" spans="1:23" s="336" customFormat="1" ht="12.9" customHeight="1">
      <c r="A64" s="285"/>
      <c r="E64" s="341"/>
      <c r="F64" s="341"/>
      <c r="G64" s="341"/>
      <c r="H64" s="341"/>
      <c r="J64" s="337"/>
      <c r="K64" s="337"/>
      <c r="L64" s="337"/>
      <c r="M64" s="337"/>
      <c r="N64" s="337"/>
      <c r="O64" s="337"/>
      <c r="P64" s="337"/>
      <c r="Q64" s="337"/>
      <c r="R64" s="337"/>
      <c r="S64" s="337"/>
      <c r="T64" s="337"/>
      <c r="U64" s="337"/>
      <c r="V64" s="337"/>
      <c r="W64" s="337"/>
    </row>
    <row r="65" spans="1:23" s="336" customFormat="1" ht="12.9" customHeight="1">
      <c r="A65" s="296" t="b">
        <f t="shared" ref="A65:A72" si="2">IF(mmSubProd1Seg1AttachSwitch="no",TRUE,FALSE)</f>
        <v>1</v>
      </c>
      <c r="B65" s="334" t="s">
        <v>805</v>
      </c>
      <c r="C65" s="340" t="s">
        <v>804</v>
      </c>
      <c r="D65" s="337"/>
      <c r="E65" s="287" t="s">
        <v>765</v>
      </c>
      <c r="F65" s="287" t="s">
        <v>764</v>
      </c>
      <c r="G65" s="287" t="s">
        <v>763</v>
      </c>
      <c r="H65" s="287" t="s">
        <v>762</v>
      </c>
      <c r="I65" s="337"/>
      <c r="J65" s="337"/>
      <c r="K65" s="337"/>
      <c r="L65" s="337"/>
      <c r="M65" s="337"/>
      <c r="N65" s="337"/>
      <c r="O65" s="337"/>
      <c r="P65" s="337"/>
      <c r="Q65" s="337"/>
      <c r="R65" s="337"/>
      <c r="S65" s="337"/>
      <c r="T65" s="337"/>
      <c r="U65" s="337"/>
      <c r="V65" s="337"/>
      <c r="W65" s="337"/>
    </row>
    <row r="66" spans="1:23" s="336" customFormat="1" ht="12.9" customHeight="1">
      <c r="A66" s="296" t="b">
        <f t="shared" si="2"/>
        <v>1</v>
      </c>
      <c r="B66" s="339"/>
      <c r="C66" s="337" t="s">
        <v>803</v>
      </c>
      <c r="D66" s="337"/>
      <c r="E66" s="338">
        <v>2000</v>
      </c>
      <c r="F66" s="338">
        <f>E66*(1.1)</f>
        <v>2200</v>
      </c>
      <c r="G66" s="338">
        <f>F66*(1.1)</f>
        <v>2420</v>
      </c>
      <c r="H66" s="338">
        <f>G66*(1.1)</f>
        <v>2662</v>
      </c>
      <c r="I66" s="302" t="s">
        <v>802</v>
      </c>
      <c r="J66" s="337"/>
      <c r="K66" s="337"/>
      <c r="L66" s="337"/>
      <c r="M66" s="337"/>
      <c r="N66" s="337"/>
      <c r="O66" s="337"/>
      <c r="P66" s="337"/>
      <c r="Q66" s="337"/>
      <c r="R66" s="337"/>
      <c r="S66" s="337"/>
      <c r="T66" s="337"/>
      <c r="U66" s="337"/>
      <c r="V66" s="337"/>
      <c r="W66" s="337"/>
    </row>
    <row r="67" spans="1:23" s="301" customFormat="1" ht="12.9" customHeight="1">
      <c r="A67" s="296" t="b">
        <f t="shared" si="2"/>
        <v>1</v>
      </c>
      <c r="B67" s="285"/>
      <c r="C67" s="285"/>
      <c r="D67" s="285"/>
      <c r="E67" s="285"/>
      <c r="F67" s="285"/>
      <c r="G67" s="285"/>
      <c r="H67" s="285"/>
      <c r="I67" s="302"/>
      <c r="J67" s="337"/>
      <c r="K67" s="337"/>
      <c r="L67" s="337"/>
      <c r="M67" s="337"/>
      <c r="N67" s="337"/>
      <c r="O67" s="337"/>
      <c r="P67" s="337"/>
      <c r="Q67" s="337"/>
      <c r="R67" s="337"/>
      <c r="S67" s="337"/>
      <c r="T67" s="337"/>
      <c r="U67" s="337"/>
      <c r="V67" s="337"/>
      <c r="W67" s="337"/>
    </row>
    <row r="68" spans="1:23" s="301" customFormat="1" ht="12.9" customHeight="1">
      <c r="A68" s="296" t="b">
        <f t="shared" si="2"/>
        <v>1</v>
      </c>
      <c r="B68" s="285"/>
      <c r="C68" s="298" t="s">
        <v>801</v>
      </c>
      <c r="D68" s="285"/>
      <c r="E68" s="287" t="s">
        <v>765</v>
      </c>
      <c r="F68" s="287" t="s">
        <v>764</v>
      </c>
      <c r="G68" s="287" t="s">
        <v>763</v>
      </c>
      <c r="H68" s="287" t="s">
        <v>762</v>
      </c>
      <c r="I68" s="302"/>
      <c r="J68" s="337"/>
      <c r="K68" s="337"/>
      <c r="L68" s="337"/>
      <c r="M68" s="337"/>
      <c r="N68" s="337"/>
      <c r="O68" s="337"/>
      <c r="P68" s="337"/>
      <c r="Q68" s="337"/>
      <c r="R68" s="337"/>
      <c r="S68" s="337"/>
      <c r="T68" s="337"/>
      <c r="U68" s="337"/>
      <c r="V68" s="337"/>
      <c r="W68" s="337"/>
    </row>
    <row r="69" spans="1:23" s="301" customFormat="1" ht="12.9" customHeight="1">
      <c r="A69" s="296" t="b">
        <f t="shared" si="2"/>
        <v>1</v>
      </c>
      <c r="B69" s="285"/>
      <c r="C69" s="285" t="s">
        <v>800</v>
      </c>
      <c r="D69" s="285"/>
      <c r="E69" s="319">
        <v>0.05</v>
      </c>
      <c r="F69" s="325">
        <f>IF(mmSubProd1Seg1AttachSwitch="yes",5%,0)</f>
        <v>0</v>
      </c>
      <c r="G69" s="325">
        <f>IF(mmSubProd1Seg1AttachSwitch="yes",5%,0)</f>
        <v>0</v>
      </c>
      <c r="H69" s="325">
        <f>IF(mmSubProd1Seg1AttachSwitch="yes",5%,0)</f>
        <v>0</v>
      </c>
      <c r="I69" s="302" t="s">
        <v>799</v>
      </c>
      <c r="J69" s="337"/>
      <c r="K69" s="337"/>
      <c r="L69" s="337"/>
      <c r="M69" s="337"/>
      <c r="N69" s="337"/>
      <c r="O69" s="337"/>
      <c r="P69" s="337"/>
      <c r="Q69" s="337"/>
      <c r="R69" s="337"/>
      <c r="S69" s="337"/>
      <c r="T69" s="337"/>
      <c r="U69" s="337"/>
      <c r="V69" s="337"/>
      <c r="W69" s="337"/>
    </row>
    <row r="70" spans="1:23" s="301" customFormat="1" ht="12.9" customHeight="1">
      <c r="A70" s="296" t="b">
        <f t="shared" si="2"/>
        <v>1</v>
      </c>
      <c r="B70" s="285"/>
      <c r="C70" s="285" t="s">
        <v>766</v>
      </c>
      <c r="D70" s="285"/>
      <c r="E70" s="335">
        <f>E66*E69*IF(mmSubProd1Seg1AttachSwitch="yes",1,0)</f>
        <v>0</v>
      </c>
      <c r="F70" s="335">
        <f>F66*F69*IF(mmSubProd1Seg1AttachSwitch="yes",1,0)</f>
        <v>0</v>
      </c>
      <c r="G70" s="335">
        <f>G66*G69*IF(mmSubProd1Seg1AttachSwitch="yes",1,0)</f>
        <v>0</v>
      </c>
      <c r="H70" s="335">
        <f>H66*H69*IF(mmSubProd1Seg1AttachSwitch="yes",1,0)</f>
        <v>0</v>
      </c>
      <c r="I70" s="302"/>
      <c r="J70" s="337"/>
      <c r="K70" s="337"/>
      <c r="L70" s="337"/>
      <c r="M70" s="337"/>
      <c r="N70" s="337"/>
      <c r="O70" s="337"/>
      <c r="P70" s="337"/>
      <c r="Q70" s="337"/>
      <c r="R70" s="337"/>
      <c r="S70" s="337"/>
      <c r="T70" s="337"/>
      <c r="U70" s="337"/>
      <c r="V70" s="337"/>
      <c r="W70" s="337"/>
    </row>
    <row r="71" spans="1:23" s="301" customFormat="1" ht="12.9" customHeight="1">
      <c r="A71" s="296" t="b">
        <f t="shared" si="2"/>
        <v>1</v>
      </c>
      <c r="B71" s="285"/>
      <c r="C71" s="285" t="s">
        <v>798</v>
      </c>
      <c r="D71" s="285"/>
      <c r="E71" s="335">
        <f>E63-E70</f>
        <v>1870639.9999999991</v>
      </c>
      <c r="F71" s="335">
        <f>F63-F70</f>
        <v>2214374.0000000019</v>
      </c>
      <c r="G71" s="335">
        <f>G63-G70</f>
        <v>2263910.8000000007</v>
      </c>
      <c r="H71" s="335">
        <f>H63-H70</f>
        <v>2908508.1440000031</v>
      </c>
      <c r="I71" s="302" t="s">
        <v>2144</v>
      </c>
      <c r="J71" s="337"/>
      <c r="K71" s="337"/>
      <c r="L71" s="337"/>
      <c r="M71" s="337"/>
      <c r="N71" s="337"/>
      <c r="O71" s="337"/>
      <c r="P71" s="337"/>
      <c r="Q71" s="337"/>
      <c r="R71" s="337"/>
      <c r="S71" s="337"/>
      <c r="T71" s="337"/>
      <c r="U71" s="337"/>
      <c r="V71" s="337"/>
      <c r="W71" s="337"/>
    </row>
    <row r="72" spans="1:23" s="301" customFormat="1" ht="12.9" customHeight="1">
      <c r="A72" s="296" t="b">
        <f t="shared" si="2"/>
        <v>1</v>
      </c>
      <c r="B72" s="285"/>
      <c r="C72" s="285"/>
      <c r="D72" s="285"/>
      <c r="E72" s="302"/>
      <c r="F72" s="302"/>
      <c r="G72" s="302"/>
      <c r="H72" s="302"/>
      <c r="I72" s="302"/>
      <c r="J72" s="337"/>
      <c r="K72" s="337"/>
      <c r="L72" s="337"/>
      <c r="M72" s="337"/>
      <c r="N72" s="337"/>
      <c r="O72" s="337"/>
      <c r="P72" s="337"/>
      <c r="Q72" s="337"/>
      <c r="R72" s="337"/>
      <c r="S72" s="337"/>
      <c r="T72" s="337"/>
      <c r="U72" s="337"/>
      <c r="V72" s="337"/>
      <c r="W72" s="337"/>
    </row>
    <row r="73" spans="1:23" s="301" customFormat="1" ht="12.9" customHeight="1">
      <c r="A73" s="285"/>
      <c r="B73" s="285"/>
      <c r="C73" s="285"/>
      <c r="D73" s="285"/>
      <c r="E73" s="287" t="s">
        <v>765</v>
      </c>
      <c r="F73" s="287" t="s">
        <v>764</v>
      </c>
      <c r="G73" s="287" t="s">
        <v>763</v>
      </c>
      <c r="H73" s="287" t="s">
        <v>762</v>
      </c>
      <c r="I73" s="302"/>
      <c r="J73" s="337"/>
      <c r="K73" s="337"/>
      <c r="L73" s="337"/>
      <c r="M73" s="337"/>
      <c r="N73" s="337"/>
      <c r="O73" s="337"/>
      <c r="P73" s="337"/>
      <c r="Q73" s="337"/>
      <c r="R73" s="337"/>
      <c r="S73" s="337"/>
      <c r="T73" s="337"/>
      <c r="U73" s="337"/>
      <c r="V73" s="337"/>
      <c r="W73" s="337"/>
    </row>
    <row r="74" spans="1:23" s="285" customFormat="1">
      <c r="B74" s="334" t="s">
        <v>797</v>
      </c>
      <c r="C74" s="289" t="s">
        <v>796</v>
      </c>
      <c r="D74" s="291"/>
      <c r="E74" s="333">
        <f>E71*mmSubTeamsinMarket</f>
        <v>20577039.999999989</v>
      </c>
      <c r="F74" s="333">
        <f>F71*mmSubTeamsinMarket</f>
        <v>24358114.000000022</v>
      </c>
      <c r="G74" s="333">
        <f>G71*mmSubTeamsinMarket</f>
        <v>24903018.800000008</v>
      </c>
      <c r="H74" s="333">
        <f>H71*mmSubTeamsinMarket</f>
        <v>31993589.584000036</v>
      </c>
      <c r="I74" s="292" t="s">
        <v>2145</v>
      </c>
      <c r="J74" s="337"/>
      <c r="K74" s="337"/>
      <c r="L74" s="337"/>
      <c r="M74" s="337"/>
      <c r="N74" s="337"/>
      <c r="O74" s="337"/>
      <c r="P74" s="337"/>
      <c r="Q74" s="337"/>
      <c r="R74" s="337"/>
      <c r="S74" s="337"/>
      <c r="T74" s="337"/>
      <c r="U74" s="337"/>
      <c r="V74" s="337"/>
      <c r="W74" s="337"/>
    </row>
    <row r="75" spans="1:23" s="285" customFormat="1">
      <c r="E75" s="300"/>
      <c r="F75" s="300"/>
      <c r="G75" s="300"/>
      <c r="H75" s="300"/>
      <c r="J75" s="300"/>
      <c r="K75" s="300"/>
      <c r="L75" s="300"/>
      <c r="M75" s="300"/>
    </row>
    <row r="76" spans="1:23" s="293" customFormat="1">
      <c r="A76" s="295"/>
      <c r="B76" s="295" t="str">
        <f>nmProd1Seg2&amp;" Growth and Balancing Inputs"</f>
        <v>Productivity &amp; Business SMC Growth and Balancing Inputs</v>
      </c>
      <c r="E76" s="294"/>
      <c r="F76" s="294"/>
      <c r="G76" s="294"/>
      <c r="H76" s="294"/>
      <c r="I76" s="294"/>
      <c r="J76" s="294"/>
      <c r="K76" s="294"/>
      <c r="L76" s="294"/>
      <c r="M76" s="294"/>
      <c r="N76" s="294"/>
      <c r="O76" s="294"/>
    </row>
    <row r="77" spans="1:23" s="284" customFormat="1"/>
    <row r="78" spans="1:23" s="284" customFormat="1">
      <c r="B78" s="284" t="s">
        <v>849</v>
      </c>
      <c r="C78" s="365" t="s">
        <v>852</v>
      </c>
      <c r="D78" s="284" t="s">
        <v>1387</v>
      </c>
    </row>
    <row r="79" spans="1:23" s="285" customFormat="1" ht="4.5" customHeight="1">
      <c r="A79" s="286"/>
      <c r="B79" s="286"/>
      <c r="C79" s="292"/>
      <c r="E79" s="290"/>
      <c r="F79" s="290"/>
      <c r="G79" s="290"/>
      <c r="H79" s="290"/>
      <c r="I79" s="290"/>
      <c r="J79" s="290"/>
      <c r="K79" s="290"/>
      <c r="L79" s="290"/>
      <c r="M79" s="290"/>
      <c r="N79" s="290"/>
      <c r="O79" s="290"/>
      <c r="P79" s="287"/>
      <c r="Q79" s="287"/>
      <c r="R79" s="287"/>
      <c r="S79" s="287"/>
      <c r="T79" s="287"/>
      <c r="U79" s="286"/>
      <c r="V79" s="286"/>
    </row>
    <row r="80" spans="1:23" s="284" customFormat="1">
      <c r="B80" s="284" t="s">
        <v>771</v>
      </c>
      <c r="C80" s="365" t="s">
        <v>848</v>
      </c>
      <c r="D80" s="284" t="s">
        <v>1388</v>
      </c>
    </row>
    <row r="81" spans="1:23" s="285" customFormat="1">
      <c r="A81" s="296" t="b">
        <f>IF(mmSubProd1Seg2FinModel="Other",TRUE,FALSE)</f>
        <v>0</v>
      </c>
    </row>
    <row r="82" spans="1:23" s="285" customFormat="1">
      <c r="A82" s="296" t="b">
        <f>IF(mmSubProd1Seg2FinModel="Other",TRUE,FALSE)</f>
        <v>0</v>
      </c>
      <c r="B82" s="364" t="s">
        <v>847</v>
      </c>
    </row>
    <row r="83" spans="1:23" s="285" customFormat="1" ht="4.5" customHeight="1">
      <c r="A83" s="296" t="b">
        <f>IF(mmSubProd1Seg2FinModel="Other",TRUE,FALSE)</f>
        <v>0</v>
      </c>
      <c r="B83" s="286"/>
      <c r="C83" s="292"/>
      <c r="E83" s="290"/>
      <c r="F83" s="290"/>
      <c r="G83" s="290"/>
      <c r="H83" s="290"/>
      <c r="I83" s="290"/>
      <c r="J83" s="290"/>
      <c r="K83" s="290"/>
      <c r="L83" s="290"/>
      <c r="M83" s="290"/>
      <c r="N83" s="290"/>
      <c r="O83" s="290"/>
      <c r="P83" s="287"/>
      <c r="Q83" s="287"/>
      <c r="R83" s="287"/>
      <c r="S83" s="287"/>
      <c r="T83" s="287"/>
      <c r="U83" s="286"/>
      <c r="V83" s="286"/>
    </row>
    <row r="84" spans="1:23" s="285" customFormat="1">
      <c r="A84" s="296" t="b">
        <f>IF(mmSubProd1Seg2FinModel="Other",TRUE,FALSE)</f>
        <v>0</v>
      </c>
      <c r="B84" s="334" t="s">
        <v>805</v>
      </c>
      <c r="C84" s="363" t="s">
        <v>846</v>
      </c>
      <c r="D84" s="361"/>
      <c r="E84" s="361"/>
      <c r="F84" s="362" t="s">
        <v>845</v>
      </c>
      <c r="G84" s="361"/>
      <c r="H84" s="360"/>
      <c r="I84" s="337"/>
      <c r="J84" s="337"/>
      <c r="K84" s="337"/>
      <c r="L84" s="337"/>
      <c r="M84" s="337"/>
      <c r="N84" s="337"/>
      <c r="O84" s="337"/>
      <c r="P84" s="337"/>
      <c r="Q84" s="337"/>
      <c r="R84" s="337"/>
    </row>
    <row r="85" spans="1:23" s="285" customFormat="1">
      <c r="A85" s="296" t="b">
        <f>IF(OR(mmSubProd1Seg2FinModel="SW - Deferral",mmSubProd1Seg2FinModel="Insurance"),FALSE,TRUE)</f>
        <v>0</v>
      </c>
      <c r="C85" s="357" t="s">
        <v>844</v>
      </c>
      <c r="D85" s="315"/>
      <c r="E85" s="358">
        <v>2</v>
      </c>
      <c r="F85" s="356" t="str">
        <f>IF(mmSubProd1Seg2FinModel="Sw - Deferral","**From FinDefContractLength","")</f>
        <v>**From FinDefContractLength</v>
      </c>
      <c r="G85" s="315"/>
      <c r="H85" s="355"/>
      <c r="I85" s="337"/>
      <c r="J85" s="337"/>
      <c r="K85" s="337"/>
      <c r="L85" s="337"/>
      <c r="M85" s="337"/>
      <c r="N85" s="337"/>
      <c r="O85" s="337"/>
      <c r="P85" s="337"/>
      <c r="Q85" s="337"/>
      <c r="R85" s="337"/>
      <c r="S85" s="346"/>
    </row>
    <row r="86" spans="1:23" s="285" customFormat="1">
      <c r="A86" s="296" t="b">
        <f>IF(mmSubProd1Seg2FinModel="SW - Deferral",FALSE,TRUE)</f>
        <v>0</v>
      </c>
      <c r="C86" s="357" t="s">
        <v>843</v>
      </c>
      <c r="D86" s="315"/>
      <c r="E86" s="359">
        <f>100%/E85</f>
        <v>0.5</v>
      </c>
      <c r="F86" s="356"/>
      <c r="G86" s="315"/>
      <c r="H86" s="355"/>
      <c r="I86" s="337"/>
      <c r="J86" s="337"/>
      <c r="K86" s="337"/>
      <c r="L86" s="337"/>
      <c r="M86" s="337"/>
      <c r="N86" s="337"/>
      <c r="O86" s="337"/>
      <c r="P86" s="337"/>
      <c r="Q86" s="337"/>
      <c r="R86" s="337"/>
      <c r="S86" s="346"/>
    </row>
    <row r="87" spans="1:23" s="285" customFormat="1" hidden="1">
      <c r="A87" s="296" t="b">
        <f>IF(mmSubProd1Seg2FinModel="SW - Recurring Revenue",FALSE,TRUE)</f>
        <v>1</v>
      </c>
      <c r="C87" s="357" t="s">
        <v>842</v>
      </c>
      <c r="D87" s="315"/>
      <c r="E87" s="358">
        <v>4</v>
      </c>
      <c r="F87" s="356" t="s">
        <v>841</v>
      </c>
      <c r="G87" s="315"/>
      <c r="H87" s="355"/>
      <c r="I87" s="337"/>
      <c r="J87" s="337"/>
      <c r="K87" s="337"/>
      <c r="L87" s="337"/>
      <c r="M87" s="337"/>
      <c r="N87" s="337"/>
      <c r="O87" s="337"/>
      <c r="P87" s="337"/>
      <c r="Q87" s="337"/>
      <c r="R87" s="337"/>
      <c r="S87" s="346"/>
    </row>
    <row r="88" spans="1:23" s="285" customFormat="1" hidden="1">
      <c r="A88" s="296" t="b">
        <f>IF(mmSubProd1Seg2FinModel="SW - Recurring Revenue",FALSE,TRUE)</f>
        <v>1</v>
      </c>
      <c r="C88" s="357" t="s">
        <v>840</v>
      </c>
      <c r="D88" s="315"/>
      <c r="E88" s="415">
        <f>1.5/E87</f>
        <v>0.375</v>
      </c>
      <c r="F88" s="356"/>
      <c r="G88" s="315"/>
      <c r="H88" s="355"/>
      <c r="I88" s="337"/>
      <c r="J88" s="337"/>
      <c r="K88" s="337"/>
      <c r="L88" s="337"/>
      <c r="M88" s="337"/>
      <c r="N88" s="337"/>
      <c r="O88" s="337"/>
      <c r="P88" s="337"/>
      <c r="Q88" s="337"/>
      <c r="R88" s="337"/>
      <c r="S88" s="346"/>
    </row>
    <row r="89" spans="1:23" s="285" customFormat="1">
      <c r="A89" s="296" t="b">
        <f>IF(mmSubProd1Seg2FinModel="SW - Deferral",FALSE,TRUE)</f>
        <v>0</v>
      </c>
      <c r="C89" s="357" t="s">
        <v>839</v>
      </c>
      <c r="D89" s="315"/>
      <c r="E89" s="359">
        <f>1-E86</f>
        <v>0.5</v>
      </c>
      <c r="F89" s="356"/>
      <c r="G89" s="315"/>
      <c r="H89" s="355"/>
      <c r="I89" s="337"/>
      <c r="J89" s="337"/>
      <c r="K89" s="337"/>
      <c r="L89" s="337"/>
      <c r="M89" s="337"/>
      <c r="N89" s="337"/>
      <c r="O89" s="337"/>
      <c r="P89" s="337"/>
      <c r="Q89" s="337"/>
      <c r="R89" s="337"/>
      <c r="S89" s="346"/>
    </row>
    <row r="90" spans="1:23" s="285" customFormat="1">
      <c r="A90" s="296" t="b">
        <f>IF(mmSubProd1Seg2FinModel="SW - Deferral",FALSE,TRUE)</f>
        <v>0</v>
      </c>
      <c r="C90" s="357" t="s">
        <v>838</v>
      </c>
      <c r="D90" s="315"/>
      <c r="E90" s="358">
        <f>Obal!$Q225</f>
        <v>24508575</v>
      </c>
      <c r="F90" s="356" t="s">
        <v>837</v>
      </c>
      <c r="G90" s="315"/>
      <c r="H90" s="355"/>
      <c r="I90" s="337"/>
      <c r="J90" s="337"/>
      <c r="K90" s="337"/>
      <c r="L90" s="337"/>
      <c r="M90" s="337"/>
      <c r="N90" s="337"/>
      <c r="O90" s="337"/>
      <c r="P90" s="337"/>
      <c r="Q90" s="337"/>
      <c r="R90" s="337"/>
      <c r="S90" s="346"/>
    </row>
    <row r="91" spans="1:23" s="285" customFormat="1" hidden="1">
      <c r="A91" s="296" t="b">
        <f>IF(mmSubProd1Seg2FinModel="SW - Recurring Revenue",FALSE,TRUE)</f>
        <v>1</v>
      </c>
      <c r="C91" s="357" t="s">
        <v>836</v>
      </c>
      <c r="D91" s="315"/>
      <c r="E91" s="358">
        <v>9000000</v>
      </c>
      <c r="F91" s="356" t="s">
        <v>835</v>
      </c>
      <c r="G91" s="315"/>
      <c r="H91" s="355"/>
      <c r="I91" s="337"/>
      <c r="J91" s="337"/>
      <c r="K91" s="337"/>
      <c r="L91" s="337"/>
      <c r="M91" s="337"/>
      <c r="N91" s="337"/>
      <c r="O91" s="337"/>
      <c r="P91" s="337"/>
      <c r="Q91" s="337"/>
      <c r="R91" s="337"/>
      <c r="S91" s="346"/>
    </row>
    <row r="92" spans="1:23" s="285" customFormat="1">
      <c r="C92" s="357" t="s">
        <v>188</v>
      </c>
      <c r="D92" s="315"/>
      <c r="E92" s="410">
        <f>dataProd1Price</f>
        <v>15</v>
      </c>
      <c r="F92" s="356" t="s">
        <v>834</v>
      </c>
      <c r="G92" s="315"/>
      <c r="H92" s="355"/>
      <c r="I92" s="337"/>
      <c r="J92" s="337"/>
      <c r="K92" s="337"/>
      <c r="L92" s="337"/>
      <c r="M92" s="337"/>
      <c r="N92" s="337"/>
      <c r="O92" s="337"/>
      <c r="P92" s="337"/>
      <c r="Q92" s="337"/>
      <c r="R92" s="337"/>
    </row>
    <row r="93" spans="1:23" s="337" customFormat="1">
      <c r="A93" s="285"/>
      <c r="B93" s="339"/>
      <c r="C93" s="354" t="s">
        <v>833</v>
      </c>
      <c r="D93" s="351"/>
      <c r="E93" s="353">
        <f>Obal!$Q$152</f>
        <v>3412500</v>
      </c>
      <c r="F93" s="352" t="s">
        <v>832</v>
      </c>
      <c r="G93" s="351"/>
      <c r="H93" s="350"/>
    </row>
    <row r="94" spans="1:23" s="337" customFormat="1">
      <c r="A94" s="285"/>
      <c r="E94" s="347"/>
    </row>
    <row r="95" spans="1:23" s="285" customFormat="1">
      <c r="A95" s="296" t="b">
        <f>IF(OR(mmSubProd1Seg2FinModel="SW - Deferral",mmSubProd1Seg2FinModel="Insurance"),FALSE,TRUE)</f>
        <v>0</v>
      </c>
      <c r="B95" s="334" t="s">
        <v>805</v>
      </c>
      <c r="C95" s="298" t="s">
        <v>831</v>
      </c>
      <c r="E95" s="287" t="s">
        <v>765</v>
      </c>
      <c r="F95" s="287" t="s">
        <v>764</v>
      </c>
      <c r="G95" s="287" t="s">
        <v>763</v>
      </c>
      <c r="H95" s="287" t="s">
        <v>762</v>
      </c>
      <c r="J95" s="337"/>
      <c r="K95" s="337"/>
      <c r="L95" s="337"/>
      <c r="M95" s="337"/>
      <c r="N95" s="337"/>
      <c r="O95" s="337"/>
      <c r="P95" s="337"/>
      <c r="Q95" s="337"/>
      <c r="R95" s="337"/>
      <c r="S95" s="337"/>
      <c r="T95" s="337"/>
      <c r="U95" s="337"/>
      <c r="V95" s="337"/>
      <c r="W95" s="337"/>
    </row>
    <row r="96" spans="1:23" s="285" customFormat="1">
      <c r="A96" s="296" t="b">
        <f>IF(OR(mmSubProd1Seg2FinModel="SW - Deferral",mmSubProd1Seg2FinModel="Insurance"),FALSE,TRUE)</f>
        <v>0</v>
      </c>
      <c r="C96" s="285" t="s">
        <v>821</v>
      </c>
      <c r="F96" s="325">
        <f>INDEX(dataProd1Seg2CloudRevGrowth,2)</f>
        <v>0.08</v>
      </c>
      <c r="G96" s="325">
        <f>INDEX(dataProd1Seg2CloudRevGrowth,3)</f>
        <v>0.10000000000000014</v>
      </c>
      <c r="H96" s="325">
        <f>INDEX(dataProd1Seg2CloudRevGrowth,4)</f>
        <v>0.12000000000000019</v>
      </c>
      <c r="J96" s="337"/>
      <c r="K96" s="337"/>
      <c r="L96" s="337"/>
      <c r="M96" s="337"/>
      <c r="N96" s="337"/>
      <c r="O96" s="337"/>
      <c r="P96" s="337"/>
      <c r="Q96" s="337"/>
      <c r="R96" s="337"/>
      <c r="S96" s="337"/>
      <c r="T96" s="337"/>
      <c r="U96" s="337"/>
      <c r="V96" s="337"/>
      <c r="W96" s="337"/>
    </row>
    <row r="97" spans="1:23" s="285" customFormat="1">
      <c r="A97" s="296" t="b">
        <f>IF(OR(mmSubProd1Seg2FinModel="SW - Deferral",mmSubProd1Seg2FinModel="Insurance"),FALSE,TRUE)</f>
        <v>0</v>
      </c>
      <c r="C97" s="285" t="s">
        <v>830</v>
      </c>
      <c r="E97" s="349">
        <f>INDEX(dataProd1Seg2CloudRev,1)</f>
        <v>48592500</v>
      </c>
      <c r="F97" s="335">
        <f>E97*(1+F96)</f>
        <v>52479900</v>
      </c>
      <c r="G97" s="335">
        <f>F97*(1+G96)</f>
        <v>57727890.000000007</v>
      </c>
      <c r="H97" s="335">
        <f>G97*(1+H96)</f>
        <v>64655236.800000012</v>
      </c>
      <c r="I97" s="285" t="s">
        <v>1389</v>
      </c>
      <c r="J97" s="337"/>
      <c r="K97" s="337"/>
      <c r="L97" s="337"/>
      <c r="M97" s="337"/>
      <c r="N97" s="337"/>
      <c r="O97" s="337"/>
      <c r="P97" s="337"/>
      <c r="Q97" s="337"/>
      <c r="R97" s="337"/>
      <c r="S97" s="337"/>
      <c r="T97" s="337"/>
      <c r="U97" s="337"/>
      <c r="V97" s="337"/>
      <c r="W97" s="337"/>
    </row>
    <row r="98" spans="1:23" s="337" customFormat="1">
      <c r="A98" s="296" t="b">
        <f t="shared" ref="A98:A109" si="3">IF(mmSubProd1Seg2FinModel="SW - Deferral",FALSE,TRUE)</f>
        <v>0</v>
      </c>
      <c r="E98" s="348"/>
    </row>
    <row r="99" spans="1:23" s="285" customFormat="1">
      <c r="A99" s="296" t="b">
        <f t="shared" si="3"/>
        <v>0</v>
      </c>
      <c r="B99" s="334" t="s">
        <v>805</v>
      </c>
      <c r="C99" s="298" t="s">
        <v>829</v>
      </c>
      <c r="E99" s="287" t="s">
        <v>765</v>
      </c>
      <c r="F99" s="287" t="s">
        <v>764</v>
      </c>
      <c r="G99" s="287" t="s">
        <v>763</v>
      </c>
      <c r="H99" s="287" t="s">
        <v>762</v>
      </c>
      <c r="J99" s="337"/>
      <c r="K99" s="337"/>
      <c r="L99" s="337"/>
      <c r="M99" s="337"/>
      <c r="N99" s="337"/>
      <c r="O99" s="337"/>
      <c r="P99" s="337"/>
      <c r="Q99" s="337"/>
      <c r="R99" s="337"/>
      <c r="S99" s="337"/>
      <c r="T99" s="337"/>
      <c r="U99" s="337"/>
      <c r="V99" s="337"/>
      <c r="W99" s="337"/>
    </row>
    <row r="100" spans="1:23" s="285" customFormat="1">
      <c r="A100" s="296" t="b">
        <f t="shared" si="3"/>
        <v>0</v>
      </c>
      <c r="C100" s="285" t="s">
        <v>214</v>
      </c>
      <c r="E100" s="335">
        <f>E90</f>
        <v>24508575</v>
      </c>
      <c r="F100" s="335">
        <f>E104</f>
        <v>24083925</v>
      </c>
      <c r="G100" s="335">
        <f>F104</f>
        <v>28395975</v>
      </c>
      <c r="H100" s="335">
        <f>G104</f>
        <v>29331915.000000007</v>
      </c>
      <c r="J100" s="337"/>
      <c r="K100" s="337"/>
      <c r="L100" s="337"/>
      <c r="M100" s="337"/>
      <c r="N100" s="337"/>
      <c r="O100" s="337"/>
      <c r="P100" s="337"/>
      <c r="Q100" s="337"/>
      <c r="R100" s="337"/>
      <c r="S100" s="337"/>
      <c r="T100" s="337"/>
      <c r="U100" s="337"/>
      <c r="V100" s="337"/>
      <c r="W100" s="337"/>
    </row>
    <row r="101" spans="1:23" s="285" customFormat="1">
      <c r="A101" s="296" t="b">
        <f t="shared" si="3"/>
        <v>0</v>
      </c>
      <c r="C101" s="285" t="s">
        <v>828</v>
      </c>
      <c r="E101" s="335">
        <f>E100*IF($E$85=1,0,IF($E$85=2,1,IF($E$85=3,0.5)))*-1</f>
        <v>-24508575</v>
      </c>
      <c r="F101" s="335">
        <f>F100*IF($E$85=1,0,IF($E$85=2,1,IF($E$85=3,0.5)))*-1</f>
        <v>-24083925</v>
      </c>
      <c r="G101" s="335">
        <f>G100*IF($E$85=1,0,IF($E$85=2,1,IF($E$85=3,0.5)))*-1</f>
        <v>-28395975</v>
      </c>
      <c r="H101" s="335">
        <f>H100*IF($E$85=1,0,IF($E$85=2,1,IF($E$85=3,0.5)))*-1</f>
        <v>-29331915.000000007</v>
      </c>
      <c r="J101" s="337"/>
      <c r="K101" s="337"/>
      <c r="L101" s="337"/>
      <c r="M101" s="337"/>
      <c r="N101" s="337"/>
      <c r="O101" s="337"/>
      <c r="P101" s="337"/>
      <c r="Q101" s="337"/>
      <c r="R101" s="337"/>
      <c r="S101" s="337"/>
      <c r="T101" s="337"/>
      <c r="U101" s="337"/>
      <c r="V101" s="337"/>
      <c r="W101" s="337"/>
    </row>
    <row r="102" spans="1:23" s="285" customFormat="1">
      <c r="A102" s="296" t="b">
        <f t="shared" si="3"/>
        <v>0</v>
      </c>
      <c r="C102" s="285" t="s">
        <v>827</v>
      </c>
      <c r="E102" s="335">
        <f>E109*$E$89</f>
        <v>24083925</v>
      </c>
      <c r="F102" s="335">
        <f>F109*$E$89</f>
        <v>28395975</v>
      </c>
      <c r="G102" s="335">
        <f>G109*$E$89</f>
        <v>29331915.000000007</v>
      </c>
      <c r="H102" s="335">
        <f>H109*$E$89</f>
        <v>35323321.800000004</v>
      </c>
      <c r="J102" s="337"/>
      <c r="K102" s="337"/>
      <c r="L102" s="337"/>
      <c r="M102" s="337"/>
      <c r="N102" s="337"/>
      <c r="O102" s="337"/>
      <c r="P102" s="337"/>
      <c r="Q102" s="337"/>
      <c r="R102" s="337"/>
      <c r="S102" s="337"/>
      <c r="T102" s="337"/>
      <c r="U102" s="337"/>
      <c r="V102" s="337"/>
      <c r="W102" s="337"/>
    </row>
    <row r="103" spans="1:23" s="309" customFormat="1" ht="2.1" customHeight="1">
      <c r="A103" s="296" t="b">
        <f t="shared" si="3"/>
        <v>0</v>
      </c>
      <c r="B103" s="285"/>
      <c r="C103" s="310"/>
      <c r="D103" s="312"/>
      <c r="E103" s="312"/>
      <c r="F103" s="311"/>
      <c r="G103" s="311"/>
      <c r="H103" s="311"/>
      <c r="J103" s="337"/>
      <c r="K103" s="337"/>
      <c r="L103" s="337"/>
      <c r="M103" s="337"/>
      <c r="N103" s="337"/>
      <c r="O103" s="337"/>
      <c r="P103" s="337"/>
      <c r="Q103" s="337"/>
      <c r="R103" s="337"/>
      <c r="S103" s="337"/>
      <c r="T103" s="337"/>
      <c r="U103" s="337"/>
      <c r="V103" s="337"/>
      <c r="W103" s="337"/>
    </row>
    <row r="104" spans="1:23" s="285" customFormat="1">
      <c r="A104" s="296" t="b">
        <f t="shared" si="3"/>
        <v>0</v>
      </c>
      <c r="C104" s="285" t="s">
        <v>215</v>
      </c>
      <c r="E104" s="335">
        <f>SUM(E100:E102)</f>
        <v>24083925</v>
      </c>
      <c r="F104" s="335">
        <f>SUM(F100:F102)</f>
        <v>28395975</v>
      </c>
      <c r="G104" s="335">
        <f>SUM(G100:G102)</f>
        <v>29331915.000000007</v>
      </c>
      <c r="H104" s="335">
        <f>SUM(H100:H102)</f>
        <v>35323321.800000004</v>
      </c>
      <c r="J104" s="337"/>
      <c r="K104" s="337"/>
      <c r="L104" s="337"/>
      <c r="M104" s="337"/>
      <c r="N104" s="337"/>
      <c r="O104" s="337"/>
      <c r="P104" s="337"/>
      <c r="Q104" s="337"/>
      <c r="R104" s="337"/>
      <c r="S104" s="337"/>
      <c r="T104" s="337"/>
      <c r="U104" s="337"/>
      <c r="V104" s="337"/>
      <c r="W104" s="337"/>
    </row>
    <row r="105" spans="1:23" s="337" customFormat="1">
      <c r="A105" s="296" t="b">
        <f t="shared" si="3"/>
        <v>0</v>
      </c>
      <c r="E105" s="347"/>
    </row>
    <row r="106" spans="1:23" s="285" customFormat="1">
      <c r="A106" s="296" t="b">
        <f t="shared" si="3"/>
        <v>0</v>
      </c>
      <c r="B106" s="334" t="s">
        <v>805</v>
      </c>
      <c r="C106" s="298" t="s">
        <v>826</v>
      </c>
      <c r="E106" s="287" t="s">
        <v>765</v>
      </c>
      <c r="F106" s="287" t="s">
        <v>764</v>
      </c>
      <c r="G106" s="287" t="s">
        <v>763</v>
      </c>
      <c r="H106" s="287" t="s">
        <v>762</v>
      </c>
      <c r="J106" s="337"/>
      <c r="K106" s="337"/>
      <c r="L106" s="337"/>
      <c r="M106" s="337"/>
      <c r="N106" s="337"/>
      <c r="O106" s="337"/>
      <c r="P106" s="337"/>
      <c r="Q106" s="337"/>
      <c r="R106" s="337"/>
      <c r="S106" s="337"/>
      <c r="T106" s="337"/>
      <c r="U106" s="337"/>
      <c r="V106" s="337"/>
      <c r="W106" s="337"/>
    </row>
    <row r="107" spans="1:23" s="285" customFormat="1">
      <c r="A107" s="296" t="b">
        <f t="shared" si="3"/>
        <v>0</v>
      </c>
      <c r="C107" s="285" t="s">
        <v>825</v>
      </c>
      <c r="E107" s="335">
        <f>-1*E101</f>
        <v>24508575</v>
      </c>
      <c r="F107" s="335">
        <f>-1*F101</f>
        <v>24083925</v>
      </c>
      <c r="G107" s="335">
        <f>-1*G101</f>
        <v>28395975</v>
      </c>
      <c r="H107" s="335">
        <f>-1*H101</f>
        <v>29331915.000000007</v>
      </c>
      <c r="J107" s="337"/>
      <c r="K107" s="337"/>
      <c r="L107" s="337"/>
      <c r="M107" s="337"/>
      <c r="N107" s="337"/>
      <c r="O107" s="337"/>
      <c r="P107" s="337"/>
      <c r="Q107" s="337"/>
      <c r="R107" s="337"/>
      <c r="S107" s="337"/>
      <c r="T107" s="337"/>
      <c r="U107" s="337"/>
      <c r="V107" s="337"/>
      <c r="W107" s="337"/>
    </row>
    <row r="108" spans="1:23" s="285" customFormat="1">
      <c r="A108" s="296" t="b">
        <f t="shared" si="3"/>
        <v>0</v>
      </c>
      <c r="C108" s="285" t="s">
        <v>824</v>
      </c>
      <c r="E108" s="335">
        <f>E97-E107</f>
        <v>24083925</v>
      </c>
      <c r="F108" s="335">
        <f>F97-F107</f>
        <v>28395975</v>
      </c>
      <c r="G108" s="335">
        <f>G97-G107</f>
        <v>29331915.000000007</v>
      </c>
      <c r="H108" s="335">
        <f>H97-H107</f>
        <v>35323321.800000004</v>
      </c>
      <c r="J108" s="337"/>
      <c r="K108" s="337"/>
      <c r="L108" s="337"/>
      <c r="M108" s="337"/>
      <c r="N108" s="337"/>
      <c r="O108" s="337"/>
      <c r="P108" s="337"/>
      <c r="Q108" s="337"/>
      <c r="R108" s="337"/>
      <c r="S108" s="337"/>
      <c r="T108" s="337"/>
      <c r="U108" s="337"/>
      <c r="V108" s="337"/>
      <c r="W108" s="337"/>
    </row>
    <row r="109" spans="1:23" s="285" customFormat="1">
      <c r="A109" s="296" t="b">
        <f t="shared" si="3"/>
        <v>0</v>
      </c>
      <c r="C109" s="285" t="s">
        <v>823</v>
      </c>
      <c r="E109" s="335">
        <f>E108*$E$85</f>
        <v>48167850</v>
      </c>
      <c r="F109" s="335">
        <f>F108*$E$85</f>
        <v>56791950</v>
      </c>
      <c r="G109" s="335">
        <f>G108*$E$85</f>
        <v>58663830.000000015</v>
      </c>
      <c r="H109" s="335">
        <f>H108*$E$85</f>
        <v>70646643.600000009</v>
      </c>
      <c r="I109" s="285" t="s">
        <v>1390</v>
      </c>
      <c r="J109" s="337"/>
      <c r="K109" s="337"/>
      <c r="L109" s="337"/>
      <c r="M109" s="337"/>
      <c r="N109" s="337"/>
      <c r="O109" s="337"/>
      <c r="P109" s="337"/>
      <c r="Q109" s="337"/>
      <c r="R109" s="337"/>
      <c r="S109" s="337"/>
      <c r="T109" s="337"/>
      <c r="U109" s="337"/>
      <c r="V109" s="337"/>
      <c r="W109" s="337"/>
    </row>
    <row r="110" spans="1:23" s="285" customFormat="1" hidden="1">
      <c r="A110" s="296" t="b">
        <f t="shared" ref="A110:A122" si="4">IF(mmSubProd1Seg2FinModel="SW - Recurring Revenue",FALSE,TRUE)</f>
        <v>1</v>
      </c>
      <c r="C110" s="298" t="s">
        <v>822</v>
      </c>
      <c r="E110" s="345" t="s">
        <v>765</v>
      </c>
      <c r="F110" s="345" t="s">
        <v>764</v>
      </c>
      <c r="G110" s="345" t="s">
        <v>763</v>
      </c>
      <c r="H110" s="345" t="s">
        <v>762</v>
      </c>
      <c r="J110" s="337"/>
      <c r="K110" s="337"/>
      <c r="L110" s="337"/>
      <c r="M110" s="337"/>
      <c r="N110" s="337"/>
      <c r="O110" s="337"/>
      <c r="P110" s="337"/>
      <c r="Q110" s="337"/>
      <c r="R110" s="337"/>
      <c r="S110" s="337"/>
      <c r="T110" s="337"/>
      <c r="U110" s="337"/>
      <c r="V110" s="337"/>
      <c r="W110" s="337"/>
    </row>
    <row r="111" spans="1:23" s="285" customFormat="1" hidden="1">
      <c r="A111" s="296" t="b">
        <f t="shared" si="4"/>
        <v>1</v>
      </c>
      <c r="C111" s="285" t="s">
        <v>821</v>
      </c>
      <c r="E111" s="300"/>
      <c r="F111" s="344">
        <v>0.1</v>
      </c>
      <c r="G111" s="344">
        <v>0.1</v>
      </c>
      <c r="H111" s="344">
        <v>0.1</v>
      </c>
      <c r="J111" s="337"/>
      <c r="K111" s="337"/>
      <c r="L111" s="337"/>
      <c r="M111" s="337"/>
      <c r="N111" s="337"/>
      <c r="O111" s="337"/>
      <c r="P111" s="337"/>
      <c r="Q111" s="337"/>
      <c r="R111" s="337"/>
      <c r="S111" s="337"/>
      <c r="T111" s="337"/>
      <c r="U111" s="337"/>
      <c r="V111" s="337"/>
      <c r="W111" s="337"/>
    </row>
    <row r="112" spans="1:23" s="285" customFormat="1" hidden="1">
      <c r="A112" s="296" t="b">
        <f t="shared" si="4"/>
        <v>1</v>
      </c>
      <c r="C112" s="285" t="s">
        <v>820</v>
      </c>
      <c r="E112" s="343">
        <v>11000000</v>
      </c>
      <c r="F112" s="335">
        <f>E112*(1+F111)</f>
        <v>12100000.000000002</v>
      </c>
      <c r="G112" s="335">
        <f>F112*(1+G111)</f>
        <v>13310000.000000004</v>
      </c>
      <c r="H112" s="335">
        <f>G112*(1+H111)</f>
        <v>14641000.000000006</v>
      </c>
      <c r="I112" s="285" t="s">
        <v>1391</v>
      </c>
      <c r="J112" s="337"/>
      <c r="K112" s="337"/>
      <c r="L112" s="337"/>
      <c r="M112" s="337"/>
      <c r="N112" s="337"/>
      <c r="O112" s="337"/>
      <c r="P112" s="337"/>
      <c r="Q112" s="337"/>
      <c r="R112" s="337"/>
      <c r="S112" s="337"/>
      <c r="T112" s="337"/>
      <c r="U112" s="337"/>
      <c r="V112" s="337"/>
      <c r="W112" s="337"/>
    </row>
    <row r="113" spans="1:23" s="285" customFormat="1" hidden="1">
      <c r="A113" s="296" t="b">
        <f t="shared" si="4"/>
        <v>1</v>
      </c>
      <c r="J113" s="337"/>
      <c r="K113" s="337"/>
      <c r="L113" s="337"/>
      <c r="M113" s="337"/>
      <c r="N113" s="337"/>
      <c r="O113" s="337"/>
      <c r="P113" s="337"/>
      <c r="Q113" s="337"/>
      <c r="R113" s="337"/>
      <c r="S113" s="337"/>
      <c r="T113" s="337"/>
      <c r="U113" s="337"/>
      <c r="V113" s="337"/>
      <c r="W113" s="337"/>
    </row>
    <row r="114" spans="1:23" s="285" customFormat="1" hidden="1">
      <c r="A114" s="296" t="b">
        <f t="shared" si="4"/>
        <v>1</v>
      </c>
      <c r="C114" s="298" t="s">
        <v>819</v>
      </c>
      <c r="J114" s="337"/>
      <c r="K114" s="337"/>
      <c r="L114" s="337"/>
      <c r="M114" s="337"/>
      <c r="N114" s="337"/>
      <c r="O114" s="337"/>
      <c r="P114" s="337"/>
      <c r="Q114" s="337"/>
      <c r="R114" s="337"/>
      <c r="S114" s="337"/>
      <c r="T114" s="337"/>
      <c r="U114" s="337"/>
      <c r="V114" s="337"/>
      <c r="W114" s="337"/>
    </row>
    <row r="115" spans="1:23" s="285" customFormat="1" hidden="1">
      <c r="A115" s="296" t="b">
        <f t="shared" si="4"/>
        <v>1</v>
      </c>
      <c r="C115" s="285" t="s">
        <v>818</v>
      </c>
      <c r="E115" s="335">
        <f>E91</f>
        <v>9000000</v>
      </c>
      <c r="F115" s="335">
        <f>E112</f>
        <v>11000000</v>
      </c>
      <c r="G115" s="335">
        <f>F112</f>
        <v>12100000.000000002</v>
      </c>
      <c r="H115" s="335">
        <f>G112</f>
        <v>13310000.000000004</v>
      </c>
      <c r="J115" s="337"/>
      <c r="K115" s="337"/>
      <c r="L115" s="337"/>
      <c r="M115" s="337"/>
      <c r="N115" s="337"/>
      <c r="O115" s="337"/>
      <c r="P115" s="337"/>
      <c r="Q115" s="337"/>
      <c r="R115" s="337"/>
      <c r="S115" s="337"/>
      <c r="T115" s="337"/>
      <c r="U115" s="337"/>
      <c r="V115" s="337"/>
      <c r="W115" s="337"/>
    </row>
    <row r="116" spans="1:23" s="285" customFormat="1" hidden="1">
      <c r="A116" s="296" t="b">
        <f t="shared" si="4"/>
        <v>1</v>
      </c>
      <c r="C116" s="285" t="s">
        <v>817</v>
      </c>
      <c r="E116" s="335">
        <f>E112-E115</f>
        <v>2000000</v>
      </c>
      <c r="F116" s="335">
        <f>F112-F115</f>
        <v>1100000.0000000019</v>
      </c>
      <c r="G116" s="335">
        <f>G112-G115</f>
        <v>1210000.0000000019</v>
      </c>
      <c r="H116" s="335">
        <f>H112-H115</f>
        <v>1331000.0000000019</v>
      </c>
      <c r="I116" s="285" t="s">
        <v>1392</v>
      </c>
      <c r="J116" s="337"/>
      <c r="K116" s="337"/>
      <c r="L116" s="337"/>
      <c r="M116" s="337"/>
      <c r="N116" s="337"/>
      <c r="O116" s="337"/>
      <c r="P116" s="337"/>
      <c r="Q116" s="337"/>
      <c r="R116" s="337"/>
      <c r="S116" s="337"/>
      <c r="T116" s="337"/>
      <c r="U116" s="337"/>
      <c r="V116" s="337"/>
      <c r="W116" s="337"/>
    </row>
    <row r="117" spans="1:23" s="285" customFormat="1" hidden="1">
      <c r="A117" s="296" t="b">
        <f t="shared" si="4"/>
        <v>1</v>
      </c>
      <c r="J117" s="337"/>
      <c r="K117" s="337"/>
      <c r="L117" s="337"/>
      <c r="M117" s="337"/>
      <c r="N117" s="337"/>
      <c r="O117" s="337"/>
      <c r="P117" s="337"/>
      <c r="Q117" s="337"/>
      <c r="R117" s="337"/>
      <c r="S117" s="337"/>
      <c r="T117" s="337"/>
      <c r="U117" s="337"/>
      <c r="V117" s="337"/>
      <c r="W117" s="337"/>
    </row>
    <row r="118" spans="1:23" s="285" customFormat="1" hidden="1">
      <c r="A118" s="296" t="b">
        <f t="shared" si="4"/>
        <v>1</v>
      </c>
      <c r="C118" s="285" t="s">
        <v>816</v>
      </c>
      <c r="E118" s="335">
        <f>$E$91+E116*$E$88</f>
        <v>9750000</v>
      </c>
      <c r="F118" s="335">
        <f>F115+F116*$E$88</f>
        <v>11412500</v>
      </c>
      <c r="G118" s="335">
        <f>G115+G116*$E$88</f>
        <v>12553750.000000002</v>
      </c>
      <c r="H118" s="335">
        <f>H115+H116*$E$88</f>
        <v>13809125.000000004</v>
      </c>
      <c r="J118" s="337"/>
      <c r="K118" s="337"/>
      <c r="L118" s="337"/>
      <c r="M118" s="337"/>
      <c r="N118" s="337"/>
      <c r="O118" s="337"/>
      <c r="P118" s="337"/>
      <c r="Q118" s="337"/>
      <c r="R118" s="337"/>
      <c r="S118" s="337"/>
      <c r="T118" s="337"/>
      <c r="U118" s="337"/>
      <c r="V118" s="337"/>
      <c r="W118" s="337"/>
    </row>
    <row r="119" spans="1:23" s="285" customFormat="1" hidden="1">
      <c r="A119" s="296" t="b">
        <f t="shared" si="4"/>
        <v>1</v>
      </c>
      <c r="J119" s="337"/>
      <c r="K119" s="337"/>
      <c r="L119" s="337"/>
      <c r="M119" s="337"/>
      <c r="N119" s="337"/>
      <c r="O119" s="337"/>
      <c r="P119" s="337"/>
      <c r="Q119" s="337"/>
      <c r="R119" s="337"/>
      <c r="S119" s="337"/>
      <c r="T119" s="337"/>
      <c r="U119" s="337"/>
      <c r="V119" s="337"/>
      <c r="W119" s="337"/>
    </row>
    <row r="120" spans="1:23" s="285" customFormat="1" hidden="1">
      <c r="A120" s="296" t="b">
        <f t="shared" si="4"/>
        <v>1</v>
      </c>
      <c r="C120" s="285" t="s">
        <v>808</v>
      </c>
      <c r="E120" s="325">
        <v>0.8</v>
      </c>
      <c r="F120" s="325">
        <v>0.8</v>
      </c>
      <c r="G120" s="325">
        <v>0.8</v>
      </c>
      <c r="H120" s="325">
        <v>0.8</v>
      </c>
      <c r="J120" s="337"/>
      <c r="K120" s="337"/>
      <c r="L120" s="337"/>
      <c r="M120" s="337"/>
      <c r="N120" s="337"/>
      <c r="O120" s="337"/>
      <c r="P120" s="337"/>
      <c r="Q120" s="337"/>
      <c r="R120" s="337"/>
      <c r="S120" s="337"/>
      <c r="T120" s="337"/>
      <c r="U120" s="337"/>
      <c r="V120" s="337"/>
      <c r="W120" s="337"/>
    </row>
    <row r="121" spans="1:23" s="285" customFormat="1" hidden="1">
      <c r="A121" s="296" t="b">
        <f t="shared" si="4"/>
        <v>1</v>
      </c>
      <c r="C121" s="285" t="s">
        <v>815</v>
      </c>
      <c r="E121" s="335">
        <f>-1*E93*$E$92*(1-E120)</f>
        <v>-10237499.999999998</v>
      </c>
      <c r="F121" s="335">
        <f>-1*SUM(E131:E132)*$E$92*(1-F120)</f>
        <v>-9633569.9999999981</v>
      </c>
      <c r="G121" s="335">
        <f>-1*SUM(F131:F132)*$E$92*(1-G120)</f>
        <v>-11358389.999999998</v>
      </c>
      <c r="H121" s="335">
        <f>-1*SUM(G131:G132)*$E$92*(1-H120)</f>
        <v>-11732766</v>
      </c>
      <c r="J121" s="337"/>
      <c r="K121" s="337"/>
      <c r="L121" s="337"/>
      <c r="M121" s="337"/>
      <c r="N121" s="337"/>
      <c r="O121" s="337"/>
      <c r="P121" s="337"/>
      <c r="Q121" s="337"/>
      <c r="R121" s="337"/>
      <c r="S121" s="337"/>
      <c r="T121" s="337"/>
      <c r="U121" s="337"/>
      <c r="V121" s="337"/>
      <c r="W121" s="337"/>
    </row>
    <row r="122" spans="1:23" s="285" customFormat="1" hidden="1">
      <c r="A122" s="296" t="b">
        <f t="shared" si="4"/>
        <v>1</v>
      </c>
      <c r="C122" s="285" t="s">
        <v>814</v>
      </c>
      <c r="E122" s="335">
        <f>E116-E121</f>
        <v>12237499.999999998</v>
      </c>
      <c r="F122" s="335">
        <f>F116-F121</f>
        <v>10733570</v>
      </c>
      <c r="G122" s="335">
        <f>G116-G121</f>
        <v>12568390</v>
      </c>
      <c r="H122" s="335">
        <f>H116-H121</f>
        <v>13063766.000000002</v>
      </c>
      <c r="J122" s="337"/>
      <c r="K122" s="337"/>
      <c r="L122" s="337"/>
      <c r="M122" s="337"/>
      <c r="N122" s="337"/>
      <c r="O122" s="337"/>
      <c r="P122" s="337"/>
      <c r="Q122" s="337"/>
      <c r="R122" s="337"/>
      <c r="S122" s="337"/>
      <c r="T122" s="337"/>
      <c r="U122" s="337"/>
      <c r="V122" s="337"/>
      <c r="W122" s="337"/>
    </row>
    <row r="123" spans="1:23" s="285" customFormat="1">
      <c r="A123" s="296" t="b">
        <f>IF(OR(mmSubProd1Seg2FinModel="SW - Deferral",mmSubProd1Seg2FinModel="Insurance"),FALSE,TRUE)</f>
        <v>0</v>
      </c>
      <c r="E123" s="300"/>
      <c r="F123" s="300"/>
      <c r="G123" s="300"/>
      <c r="H123" s="300"/>
      <c r="J123" s="337"/>
      <c r="K123" s="337"/>
      <c r="L123" s="337"/>
      <c r="M123" s="337"/>
      <c r="N123" s="337"/>
      <c r="O123" s="337"/>
      <c r="P123" s="337"/>
      <c r="Q123" s="337"/>
      <c r="R123" s="337"/>
      <c r="S123" s="337"/>
      <c r="T123" s="337"/>
      <c r="U123" s="337"/>
      <c r="V123" s="337"/>
      <c r="W123" s="337"/>
    </row>
    <row r="124" spans="1:23" s="285" customFormat="1">
      <c r="A124" s="296" t="b">
        <f>IF(OR(mmSubProd1Seg2FinModel="SW - Deferral",mmSubProd1Seg2FinModel="Insurance"),FALSE,TRUE)</f>
        <v>0</v>
      </c>
      <c r="B124" s="334" t="s">
        <v>805</v>
      </c>
      <c r="C124" s="298" t="s">
        <v>813</v>
      </c>
      <c r="E124" s="287" t="s">
        <v>765</v>
      </c>
      <c r="F124" s="287" t="s">
        <v>764</v>
      </c>
      <c r="G124" s="287" t="s">
        <v>763</v>
      </c>
      <c r="H124" s="287" t="s">
        <v>762</v>
      </c>
      <c r="J124" s="337"/>
      <c r="K124" s="337"/>
      <c r="L124" s="337"/>
      <c r="M124" s="337"/>
      <c r="N124" s="337"/>
      <c r="O124" s="337"/>
      <c r="P124" s="337"/>
      <c r="Q124" s="337"/>
      <c r="R124" s="337"/>
      <c r="S124" s="337"/>
      <c r="T124" s="337"/>
      <c r="U124" s="337"/>
      <c r="V124" s="337"/>
      <c r="W124" s="337"/>
    </row>
    <row r="125" spans="1:23" s="285" customFormat="1">
      <c r="A125" s="296" t="b">
        <f>IF(OR(mmSubProd1Seg2FinModel="SW - Deferral",mmSubProd1Seg2FinModel="Insurance"),FALSE,TRUE)</f>
        <v>0</v>
      </c>
      <c r="C125" s="285" t="s">
        <v>812</v>
      </c>
      <c r="E125" s="335">
        <f>IF(OR(mmSubProd1Seg2FinModel="SW - Deferral",mmSubProd1Seg2FinModel="Insurance"),E109/$E$92,0)</f>
        <v>3211190</v>
      </c>
      <c r="F125" s="335">
        <f>IF(OR(mmSubProd1Seg2FinModel="SW - Deferral",mmSubProd1Seg2FinModel="Insurance"),F109/$E$92,0)</f>
        <v>3786130</v>
      </c>
      <c r="G125" s="335">
        <f>IF(OR(mmSubProd1Seg2FinModel="SW - Deferral",mmSubProd1Seg2FinModel="Insurance"),G109/$E$92,0)</f>
        <v>3910922.0000000009</v>
      </c>
      <c r="H125" s="335">
        <f>IF(OR(mmSubProd1Seg2FinModel="SW - Deferral",mmSubProd1Seg2FinModel="Insurance"),H109/$E$92,0)</f>
        <v>4709776.24</v>
      </c>
      <c r="J125" s="337"/>
      <c r="K125" s="337"/>
      <c r="L125" s="337"/>
      <c r="M125" s="337"/>
      <c r="N125" s="337"/>
      <c r="O125" s="337"/>
      <c r="P125" s="337"/>
      <c r="Q125" s="337"/>
      <c r="R125" s="337"/>
      <c r="S125" s="337"/>
      <c r="T125" s="337"/>
      <c r="U125" s="337"/>
      <c r="V125" s="337"/>
      <c r="W125" s="337"/>
    </row>
    <row r="126" spans="1:23" s="337" customFormat="1">
      <c r="A126" s="285"/>
      <c r="E126" s="342"/>
      <c r="F126" s="342"/>
      <c r="G126" s="342"/>
      <c r="H126" s="342"/>
    </row>
    <row r="127" spans="1:23" s="285" customFormat="1">
      <c r="B127" s="334" t="s">
        <v>805</v>
      </c>
      <c r="C127" s="298" t="s">
        <v>811</v>
      </c>
      <c r="E127" s="287" t="s">
        <v>765</v>
      </c>
      <c r="F127" s="287" t="s">
        <v>764</v>
      </c>
      <c r="G127" s="287" t="s">
        <v>763</v>
      </c>
      <c r="H127" s="287" t="s">
        <v>762</v>
      </c>
      <c r="J127" s="337"/>
      <c r="K127" s="337"/>
      <c r="L127" s="337"/>
      <c r="M127" s="337"/>
      <c r="N127" s="337"/>
      <c r="O127" s="337"/>
      <c r="P127" s="337"/>
      <c r="Q127" s="337"/>
      <c r="R127" s="337"/>
      <c r="S127" s="337"/>
      <c r="T127" s="337"/>
      <c r="U127" s="337"/>
      <c r="V127" s="337"/>
      <c r="W127" s="337"/>
    </row>
    <row r="128" spans="1:23" s="285" customFormat="1" hidden="1">
      <c r="A128" s="296" t="b">
        <f>IF(mmSubProd1Seg2FinModel="Insurance",FALSE,TRUE)</f>
        <v>1</v>
      </c>
      <c r="C128" s="285" t="s">
        <v>810</v>
      </c>
      <c r="E128" s="317">
        <v>1.4999999999999999E-2</v>
      </c>
      <c r="F128" s="317">
        <v>1.4999999999999999E-2</v>
      </c>
      <c r="G128" s="317">
        <v>1.4999999999999999E-2</v>
      </c>
      <c r="H128" s="317">
        <v>1.4999999999999999E-2</v>
      </c>
      <c r="J128" s="337"/>
      <c r="K128" s="337"/>
      <c r="L128" s="337"/>
      <c r="M128" s="337"/>
      <c r="N128" s="337"/>
      <c r="O128" s="337"/>
      <c r="P128" s="337"/>
      <c r="Q128" s="337"/>
      <c r="R128" s="337"/>
      <c r="S128" s="337"/>
      <c r="T128" s="337"/>
      <c r="U128" s="337"/>
      <c r="V128" s="337"/>
      <c r="W128" s="337"/>
    </row>
    <row r="129" spans="1:23" s="285" customFormat="1" hidden="1">
      <c r="A129" s="296" t="b">
        <f>IF(mmSubProd1Seg2FinModel="Insurance",FALSE,TRUE)</f>
        <v>1</v>
      </c>
      <c r="C129" s="285" t="s">
        <v>809</v>
      </c>
      <c r="E129" s="335">
        <f>E93*E128*(mmSubProd1Seg2FinModel="Insurance")*(-1)</f>
        <v>0</v>
      </c>
      <c r="F129" s="335">
        <f>SUM(E131,E132)*F128*(mmSubProd1Seg2FinModel="Insurance")*(-1)</f>
        <v>0</v>
      </c>
      <c r="G129" s="335">
        <f>SUM(F131,F132)*G128*(mmSubProd1Seg2FinModel="Insurance")*(-1)</f>
        <v>0</v>
      </c>
      <c r="H129" s="335">
        <f>SUM(G131,G132)*H128*(mmSubProd1Seg2FinModel="Insurance")*(-1)</f>
        <v>0</v>
      </c>
      <c r="J129" s="337"/>
      <c r="K129" s="337"/>
      <c r="L129" s="337"/>
      <c r="M129" s="337"/>
      <c r="N129" s="337"/>
      <c r="O129" s="337"/>
      <c r="P129" s="337"/>
      <c r="Q129" s="337"/>
      <c r="R129" s="337"/>
      <c r="S129" s="337"/>
      <c r="T129" s="337"/>
      <c r="U129" s="337"/>
      <c r="V129" s="337"/>
      <c r="W129" s="337"/>
    </row>
    <row r="130" spans="1:23" s="285" customFormat="1">
      <c r="A130" s="296" t="b">
        <f>IF(OR(mmSubProd1Seg2FinModel="SW - Deferral",mmSubProd1Seg2FinModel="Insurance"),FALSE,TRUE)</f>
        <v>0</v>
      </c>
      <c r="C130" s="285" t="s">
        <v>808</v>
      </c>
      <c r="E130" s="325">
        <v>0.7</v>
      </c>
      <c r="F130" s="325">
        <v>0.7</v>
      </c>
      <c r="G130" s="325">
        <v>0.7</v>
      </c>
      <c r="H130" s="325">
        <v>0.7</v>
      </c>
      <c r="I130" s="302" t="s">
        <v>807</v>
      </c>
      <c r="J130" s="337"/>
      <c r="K130" s="337"/>
      <c r="L130" s="337"/>
      <c r="M130" s="337"/>
      <c r="N130" s="337"/>
      <c r="O130" s="337"/>
      <c r="P130" s="337"/>
      <c r="Q130" s="337"/>
      <c r="R130" s="337"/>
      <c r="S130" s="337"/>
      <c r="T130" s="337"/>
      <c r="U130" s="337"/>
      <c r="V130" s="337"/>
      <c r="W130" s="337"/>
    </row>
    <row r="131" spans="1:23" s="285" customFormat="1">
      <c r="C131" s="285" t="s">
        <v>768</v>
      </c>
      <c r="E131" s="335">
        <f>E93*IF(OR(mmSubProd1Seg2FinModel="SW - Deferral",mmSubProd1Seg2FinModel="Insurance"),E130,E120)+E129</f>
        <v>2388750</v>
      </c>
      <c r="F131" s="335">
        <f>SUM(E131,E132)*IF(OR(mmSubProd1Seg2FinModel="SW - Deferral",mmSubProd1Seg2FinModel="Insurance"),F130,F120)+F129</f>
        <v>2247833</v>
      </c>
      <c r="G131" s="335">
        <f>SUM(F131,F132)*IF(OR(mmSubProd1Seg2FinModel="SW - Deferral",mmSubProd1Seg2FinModel="Insurance"),G130,G120)+G129</f>
        <v>2650291</v>
      </c>
      <c r="H131" s="335">
        <f>SUM(G131,G132)*IF(OR(mmSubProd1Seg2FinModel="SW - Deferral",mmSubProd1Seg2FinModel="Insurance"),H130,H120)+H129</f>
        <v>2737645.4000000004</v>
      </c>
      <c r="J131" s="337"/>
      <c r="K131" s="337"/>
      <c r="L131" s="337"/>
      <c r="M131" s="337"/>
      <c r="N131" s="337"/>
      <c r="O131" s="337"/>
      <c r="P131" s="337"/>
      <c r="Q131" s="337"/>
      <c r="R131" s="337"/>
      <c r="S131" s="337"/>
      <c r="T131" s="337"/>
      <c r="U131" s="337"/>
      <c r="V131" s="337"/>
      <c r="W131" s="337"/>
    </row>
    <row r="132" spans="1:23" s="285" customFormat="1">
      <c r="C132" s="285" t="s">
        <v>806</v>
      </c>
      <c r="E132" s="335">
        <f>IF(mmSubProd1Seg2FinModel="SW - Deferral",E125-E131,IF(mmSubProd1Seg2FinModel="Insurance",E125-E131,E122/$E$92))</f>
        <v>822440</v>
      </c>
      <c r="F132" s="335">
        <f>IF(mmSubProd1Seg2FinModel="SW - Deferral",F125-F131,IF(mmSubProd1Seg2FinModel="Insurance",F125-F131,F122/$E$92))</f>
        <v>1538297</v>
      </c>
      <c r="G132" s="335">
        <f>IF(mmSubProd1Seg2FinModel="SW - Deferral",G125-G131,IF(mmSubProd1Seg2FinModel="Insurance",G125-G131,G122/$E$92))</f>
        <v>1260631.0000000009</v>
      </c>
      <c r="H132" s="335">
        <f>IF(mmSubProd1Seg2FinModel="SW - Deferral",H125-H131,IF(mmSubProd1Seg2FinModel="Insurance",H125-H131,H122/$E$92))</f>
        <v>1972130.8399999999</v>
      </c>
      <c r="I132" s="302" t="str">
        <f>IF(mmSubProd1Seg2AttachSwitch="no","**This value times 5 determines mmSubProd1Seg2NewTAM","")</f>
        <v>**This value times 5 determines mmSubProd1Seg2NewTAM</v>
      </c>
      <c r="J132" s="337"/>
      <c r="K132" s="337"/>
      <c r="L132" s="337"/>
      <c r="M132" s="337"/>
      <c r="N132" s="337"/>
      <c r="O132" s="337"/>
      <c r="P132" s="337"/>
      <c r="Q132" s="337"/>
      <c r="R132" s="337"/>
      <c r="S132" s="337"/>
      <c r="T132" s="337"/>
      <c r="U132" s="337"/>
      <c r="V132" s="337"/>
      <c r="W132" s="337"/>
    </row>
    <row r="133" spans="1:23" s="336" customFormat="1" ht="12.9" customHeight="1">
      <c r="A133" s="285"/>
      <c r="E133" s="341"/>
      <c r="F133" s="341"/>
      <c r="G133" s="341"/>
      <c r="H133" s="341"/>
      <c r="J133" s="337"/>
      <c r="K133" s="337"/>
      <c r="L133" s="337"/>
      <c r="M133" s="337"/>
      <c r="N133" s="337"/>
      <c r="O133" s="337"/>
      <c r="P133" s="337"/>
      <c r="Q133" s="337"/>
      <c r="R133" s="337"/>
      <c r="S133" s="337"/>
      <c r="T133" s="337"/>
      <c r="U133" s="337"/>
      <c r="V133" s="337"/>
      <c r="W133" s="337"/>
    </row>
    <row r="134" spans="1:23" s="336" customFormat="1" ht="12.9" hidden="1" customHeight="1">
      <c r="A134" s="296" t="b">
        <f t="shared" ref="A134:A141" si="5">IF(mmSubProd1Seg2AttachSwitch="no",TRUE,FALSE)</f>
        <v>1</v>
      </c>
      <c r="B134" s="334" t="s">
        <v>805</v>
      </c>
      <c r="C134" s="340" t="s">
        <v>804</v>
      </c>
      <c r="D134" s="337"/>
      <c r="E134" s="287" t="s">
        <v>765</v>
      </c>
      <c r="F134" s="287" t="s">
        <v>764</v>
      </c>
      <c r="G134" s="287" t="s">
        <v>763</v>
      </c>
      <c r="H134" s="287" t="s">
        <v>762</v>
      </c>
      <c r="I134" s="337"/>
      <c r="J134" s="337"/>
      <c r="K134" s="337"/>
      <c r="L134" s="337"/>
      <c r="M134" s="337"/>
      <c r="N134" s="337"/>
      <c r="O134" s="337"/>
      <c r="P134" s="337"/>
      <c r="Q134" s="337"/>
      <c r="R134" s="337"/>
      <c r="S134" s="337"/>
      <c r="T134" s="337"/>
      <c r="U134" s="337"/>
      <c r="V134" s="337"/>
      <c r="W134" s="337"/>
    </row>
    <row r="135" spans="1:23" s="336" customFormat="1" ht="12.9" hidden="1" customHeight="1">
      <c r="A135" s="296" t="b">
        <f t="shared" si="5"/>
        <v>1</v>
      </c>
      <c r="B135" s="339"/>
      <c r="C135" s="337" t="s">
        <v>803</v>
      </c>
      <c r="D135" s="337"/>
      <c r="E135" s="338">
        <v>2000</v>
      </c>
      <c r="F135" s="338">
        <f>E135*(1.1)</f>
        <v>2200</v>
      </c>
      <c r="G135" s="338">
        <f>F135*(1.1)</f>
        <v>2420</v>
      </c>
      <c r="H135" s="338">
        <f>G135*(1.1)</f>
        <v>2662</v>
      </c>
      <c r="I135" s="302" t="s">
        <v>802</v>
      </c>
      <c r="J135" s="337"/>
      <c r="K135" s="337"/>
      <c r="L135" s="337"/>
      <c r="M135" s="337"/>
      <c r="N135" s="337"/>
      <c r="O135" s="337"/>
      <c r="P135" s="337"/>
      <c r="Q135" s="337"/>
      <c r="R135" s="337"/>
      <c r="S135" s="337"/>
      <c r="T135" s="337"/>
      <c r="U135" s="337"/>
      <c r="V135" s="337"/>
      <c r="W135" s="337"/>
    </row>
    <row r="136" spans="1:23" s="301" customFormat="1" ht="12.9" hidden="1" customHeight="1">
      <c r="A136" s="296" t="b">
        <f t="shared" si="5"/>
        <v>1</v>
      </c>
      <c r="B136" s="285"/>
      <c r="C136" s="285"/>
      <c r="D136" s="285"/>
      <c r="E136" s="285"/>
      <c r="F136" s="285"/>
      <c r="G136" s="285"/>
      <c r="H136" s="285"/>
      <c r="I136" s="302"/>
      <c r="J136" s="337"/>
      <c r="K136" s="337"/>
      <c r="L136" s="337"/>
      <c r="M136" s="337"/>
      <c r="N136" s="337"/>
      <c r="O136" s="337"/>
      <c r="P136" s="337"/>
      <c r="Q136" s="337"/>
      <c r="R136" s="337"/>
      <c r="S136" s="337"/>
      <c r="T136" s="337"/>
      <c r="U136" s="337"/>
      <c r="V136" s="337"/>
      <c r="W136" s="337"/>
    </row>
    <row r="137" spans="1:23" s="301" customFormat="1" ht="12.9" hidden="1" customHeight="1">
      <c r="A137" s="296" t="b">
        <f t="shared" si="5"/>
        <v>1</v>
      </c>
      <c r="B137" s="285"/>
      <c r="C137" s="298" t="s">
        <v>801</v>
      </c>
      <c r="D137" s="285"/>
      <c r="E137" s="287" t="s">
        <v>765</v>
      </c>
      <c r="F137" s="287" t="s">
        <v>764</v>
      </c>
      <c r="G137" s="287" t="s">
        <v>763</v>
      </c>
      <c r="H137" s="287" t="s">
        <v>762</v>
      </c>
      <c r="I137" s="302"/>
      <c r="J137" s="337"/>
      <c r="K137" s="337"/>
      <c r="L137" s="337"/>
      <c r="M137" s="337"/>
      <c r="N137" s="337"/>
      <c r="O137" s="337"/>
      <c r="P137" s="337"/>
      <c r="Q137" s="337"/>
      <c r="R137" s="337"/>
      <c r="S137" s="337"/>
      <c r="T137" s="337"/>
      <c r="U137" s="337"/>
      <c r="V137" s="337"/>
      <c r="W137" s="337"/>
    </row>
    <row r="138" spans="1:23" s="301" customFormat="1" ht="12.9" hidden="1" customHeight="1">
      <c r="A138" s="296" t="b">
        <f t="shared" si="5"/>
        <v>1</v>
      </c>
      <c r="B138" s="285"/>
      <c r="C138" s="285" t="s">
        <v>800</v>
      </c>
      <c r="D138" s="285"/>
      <c r="E138" s="319">
        <v>0.05</v>
      </c>
      <c r="F138" s="325">
        <f>IF(mmSubProd1Seg2AttachSwitch="yes",5%,0)</f>
        <v>0</v>
      </c>
      <c r="G138" s="325">
        <f>IF(mmSubProd1Seg2AttachSwitch="yes",5%,0)</f>
        <v>0</v>
      </c>
      <c r="H138" s="325">
        <f>IF(mmSubProd1Seg2AttachSwitch="yes",5%,0)</f>
        <v>0</v>
      </c>
      <c r="I138" s="302" t="s">
        <v>799</v>
      </c>
      <c r="J138" s="337"/>
      <c r="K138" s="337"/>
      <c r="L138" s="337"/>
      <c r="M138" s="337"/>
      <c r="N138" s="337"/>
      <c r="O138" s="337"/>
      <c r="P138" s="337"/>
      <c r="Q138" s="337"/>
      <c r="R138" s="337"/>
      <c r="S138" s="337"/>
      <c r="T138" s="337"/>
      <c r="U138" s="337"/>
      <c r="V138" s="337"/>
      <c r="W138" s="337"/>
    </row>
    <row r="139" spans="1:23" s="301" customFormat="1" ht="12.9" hidden="1" customHeight="1">
      <c r="A139" s="296" t="b">
        <f t="shared" si="5"/>
        <v>1</v>
      </c>
      <c r="B139" s="285"/>
      <c r="C139" s="285" t="s">
        <v>766</v>
      </c>
      <c r="D139" s="285"/>
      <c r="E139" s="335">
        <f>E135*E138*IF(mmSubProd1Seg2AttachSwitch="yes",1,0)</f>
        <v>0</v>
      </c>
      <c r="F139" s="335">
        <f>F135*F138*IF(mmSubProd1Seg2AttachSwitch="yes",1,0)</f>
        <v>0</v>
      </c>
      <c r="G139" s="335">
        <f>G135*G138*IF(mmSubProd1Seg2AttachSwitch="yes",1,0)</f>
        <v>0</v>
      </c>
      <c r="H139" s="335">
        <f>H135*H138*IF(mmSubProd1Seg2AttachSwitch="yes",1,0)</f>
        <v>0</v>
      </c>
      <c r="I139" s="302"/>
      <c r="J139" s="337"/>
      <c r="K139" s="337"/>
      <c r="L139" s="337"/>
      <c r="M139" s="337"/>
      <c r="N139" s="337"/>
      <c r="O139" s="337"/>
      <c r="P139" s="337"/>
      <c r="Q139" s="337"/>
      <c r="R139" s="337"/>
      <c r="S139" s="337"/>
      <c r="T139" s="337"/>
      <c r="U139" s="337"/>
      <c r="V139" s="337"/>
      <c r="W139" s="337"/>
    </row>
    <row r="140" spans="1:23" s="301" customFormat="1" ht="12.9" hidden="1" customHeight="1">
      <c r="A140" s="296" t="b">
        <f t="shared" si="5"/>
        <v>1</v>
      </c>
      <c r="B140" s="285"/>
      <c r="C140" s="285" t="s">
        <v>798</v>
      </c>
      <c r="D140" s="285"/>
      <c r="E140" s="335">
        <f>E132-E139</f>
        <v>822440</v>
      </c>
      <c r="F140" s="335">
        <f>F132-F139</f>
        <v>1538297</v>
      </c>
      <c r="G140" s="335">
        <f>G132-G139</f>
        <v>1260631.0000000009</v>
      </c>
      <c r="H140" s="335">
        <f>H132-H139</f>
        <v>1972130.8399999999</v>
      </c>
      <c r="I140" s="302" t="s">
        <v>1393</v>
      </c>
      <c r="J140" s="337"/>
      <c r="K140" s="337"/>
      <c r="L140" s="337"/>
      <c r="M140" s="337"/>
      <c r="N140" s="337"/>
      <c r="O140" s="337"/>
      <c r="P140" s="337"/>
      <c r="Q140" s="337"/>
      <c r="R140" s="337"/>
      <c r="S140" s="337"/>
      <c r="T140" s="337"/>
      <c r="U140" s="337"/>
      <c r="V140" s="337"/>
      <c r="W140" s="337"/>
    </row>
    <row r="141" spans="1:23" s="301" customFormat="1" ht="12.9" hidden="1" customHeight="1">
      <c r="A141" s="296" t="b">
        <f t="shared" si="5"/>
        <v>1</v>
      </c>
      <c r="B141" s="285"/>
      <c r="C141" s="285"/>
      <c r="D141" s="285"/>
      <c r="E141" s="302"/>
      <c r="F141" s="302"/>
      <c r="G141" s="302"/>
      <c r="H141" s="302"/>
      <c r="I141" s="302"/>
      <c r="J141" s="337"/>
      <c r="K141" s="337"/>
      <c r="L141" s="337"/>
      <c r="M141" s="337"/>
      <c r="N141" s="337"/>
      <c r="O141" s="337"/>
      <c r="P141" s="337"/>
      <c r="Q141" s="337"/>
      <c r="R141" s="337"/>
      <c r="S141" s="337"/>
      <c r="T141" s="337"/>
      <c r="U141" s="337"/>
      <c r="V141" s="337"/>
      <c r="W141" s="337"/>
    </row>
    <row r="142" spans="1:23" s="301" customFormat="1" ht="12.9" customHeight="1">
      <c r="A142" s="285"/>
      <c r="B142" s="285"/>
      <c r="C142" s="285"/>
      <c r="D142" s="285"/>
      <c r="E142" s="287" t="s">
        <v>765</v>
      </c>
      <c r="F142" s="287" t="s">
        <v>764</v>
      </c>
      <c r="G142" s="287" t="s">
        <v>763</v>
      </c>
      <c r="H142" s="287" t="s">
        <v>762</v>
      </c>
      <c r="I142" s="302"/>
      <c r="J142" s="337"/>
      <c r="K142" s="337"/>
      <c r="L142" s="337"/>
      <c r="M142" s="337"/>
      <c r="N142" s="337"/>
      <c r="O142" s="337"/>
      <c r="P142" s="337"/>
      <c r="Q142" s="337"/>
      <c r="R142" s="337"/>
      <c r="S142" s="337"/>
      <c r="T142" s="337"/>
      <c r="U142" s="337"/>
      <c r="V142" s="337"/>
      <c r="W142" s="337"/>
    </row>
    <row r="143" spans="1:23" s="285" customFormat="1">
      <c r="B143" s="334" t="s">
        <v>797</v>
      </c>
      <c r="C143" s="289" t="s">
        <v>796</v>
      </c>
      <c r="D143" s="291"/>
      <c r="E143" s="333">
        <f>E140*mmSubTeamsinMarket</f>
        <v>9046840</v>
      </c>
      <c r="F143" s="333">
        <f>F140*mmSubTeamsinMarket</f>
        <v>16921267</v>
      </c>
      <c r="G143" s="333">
        <f>G140*mmSubTeamsinMarket</f>
        <v>13866941.000000011</v>
      </c>
      <c r="H143" s="333">
        <f>H140*mmSubTeamsinMarket</f>
        <v>21693439.239999998</v>
      </c>
      <c r="I143" s="292" t="s">
        <v>1394</v>
      </c>
      <c r="J143" s="337"/>
      <c r="K143" s="337"/>
      <c r="L143" s="337"/>
      <c r="M143" s="337"/>
      <c r="N143" s="337"/>
      <c r="O143" s="337"/>
      <c r="P143" s="337"/>
      <c r="Q143" s="337"/>
      <c r="R143" s="337"/>
      <c r="S143" s="337"/>
      <c r="T143" s="337"/>
      <c r="U143" s="337"/>
      <c r="V143" s="337"/>
      <c r="W143" s="337"/>
    </row>
    <row r="144" spans="1:23" s="285" customFormat="1">
      <c r="E144" s="300"/>
      <c r="F144" s="300"/>
      <c r="G144" s="300"/>
      <c r="H144" s="300"/>
      <c r="J144" s="300"/>
      <c r="K144" s="300"/>
      <c r="L144" s="300"/>
      <c r="M144" s="300"/>
    </row>
    <row r="145" spans="1:22" s="293" customFormat="1">
      <c r="A145" s="295"/>
      <c r="B145" s="295" t="str">
        <f>nmProd1Seg3&amp;" Growth and Balancing Inputs"</f>
        <v>Productivity &amp; Business Consumer Growth and Balancing Inputs</v>
      </c>
      <c r="E145" s="294"/>
      <c r="F145" s="294"/>
      <c r="G145" s="294"/>
      <c r="H145" s="294"/>
      <c r="I145" s="294"/>
      <c r="J145" s="294"/>
      <c r="K145" s="294"/>
      <c r="L145" s="294"/>
      <c r="M145" s="294"/>
      <c r="N145" s="294"/>
      <c r="O145" s="294"/>
    </row>
    <row r="146" spans="1:22" s="284" customFormat="1"/>
    <row r="147" spans="1:22" s="284" customFormat="1">
      <c r="B147" s="284" t="s">
        <v>849</v>
      </c>
      <c r="C147" s="365" t="s">
        <v>852</v>
      </c>
      <c r="D147" s="284" t="s">
        <v>1395</v>
      </c>
    </row>
    <row r="148" spans="1:22" s="285" customFormat="1" ht="4.5" customHeight="1">
      <c r="A148" s="286"/>
      <c r="B148" s="286"/>
      <c r="C148" s="292"/>
      <c r="E148" s="290"/>
      <c r="F148" s="290"/>
      <c r="G148" s="290"/>
      <c r="H148" s="290"/>
      <c r="I148" s="290"/>
      <c r="J148" s="290"/>
      <c r="K148" s="290"/>
      <c r="L148" s="290"/>
      <c r="M148" s="290"/>
      <c r="N148" s="290"/>
      <c r="O148" s="290"/>
      <c r="P148" s="287"/>
      <c r="Q148" s="287"/>
      <c r="R148" s="287"/>
      <c r="S148" s="287"/>
      <c r="T148" s="287"/>
      <c r="U148" s="286"/>
      <c r="V148" s="286"/>
    </row>
    <row r="149" spans="1:22" s="284" customFormat="1">
      <c r="B149" s="284" t="s">
        <v>771</v>
      </c>
      <c r="C149" s="365" t="s">
        <v>848</v>
      </c>
      <c r="D149" s="284" t="s">
        <v>1396</v>
      </c>
    </row>
    <row r="150" spans="1:22" s="284" customFormat="1"/>
    <row r="151" spans="1:22" s="285" customFormat="1">
      <c r="A151" s="296" t="b">
        <f>IF(mmSubProd1Seg3FinModel="Other",TRUE,FALSE)</f>
        <v>0</v>
      </c>
    </row>
    <row r="152" spans="1:22" s="285" customFormat="1">
      <c r="A152" s="296" t="b">
        <f>IF(mmSubProd1Seg3FinModel="Other",TRUE,FALSE)</f>
        <v>0</v>
      </c>
      <c r="B152" s="364" t="s">
        <v>847</v>
      </c>
    </row>
    <row r="153" spans="1:22" s="285" customFormat="1" ht="4.5" customHeight="1">
      <c r="A153" s="296" t="b">
        <f>IF(mmSubProd1Seg3FinModel="Other",TRUE,FALSE)</f>
        <v>0</v>
      </c>
      <c r="B153" s="286"/>
      <c r="C153" s="292"/>
      <c r="E153" s="290"/>
      <c r="F153" s="290"/>
      <c r="G153" s="290"/>
      <c r="H153" s="290"/>
      <c r="I153" s="290"/>
      <c r="J153" s="290"/>
      <c r="K153" s="290"/>
      <c r="L153" s="290"/>
      <c r="M153" s="290"/>
      <c r="N153" s="290"/>
      <c r="O153" s="290"/>
      <c r="P153" s="287"/>
      <c r="Q153" s="287"/>
      <c r="R153" s="287"/>
      <c r="S153" s="287"/>
      <c r="T153" s="287"/>
      <c r="U153" s="286"/>
      <c r="V153" s="286"/>
    </row>
    <row r="154" spans="1:22" s="285" customFormat="1">
      <c r="A154" s="296" t="b">
        <f>IF(mmSubProd1Seg3FinModel="Other",TRUE,FALSE)</f>
        <v>0</v>
      </c>
      <c r="B154" s="334" t="s">
        <v>805</v>
      </c>
      <c r="C154" s="363" t="s">
        <v>846</v>
      </c>
      <c r="D154" s="361"/>
      <c r="E154" s="361"/>
      <c r="F154" s="362" t="s">
        <v>845</v>
      </c>
      <c r="G154" s="361"/>
      <c r="H154" s="360"/>
      <c r="I154" s="337"/>
      <c r="J154" s="337"/>
      <c r="K154" s="337"/>
      <c r="L154" s="337"/>
      <c r="M154" s="337"/>
      <c r="N154" s="337"/>
      <c r="O154" s="337"/>
      <c r="P154" s="337"/>
      <c r="Q154" s="337"/>
      <c r="R154" s="337"/>
    </row>
    <row r="155" spans="1:22" s="285" customFormat="1">
      <c r="A155" s="296" t="b">
        <f>IF(OR(mmSubProd1Seg3FinModel="SW - Deferral",mmSubProd1Seg3FinModel="Insurance"),FALSE,TRUE)</f>
        <v>0</v>
      </c>
      <c r="C155" s="357" t="s">
        <v>844</v>
      </c>
      <c r="D155" s="315"/>
      <c r="E155" s="358">
        <v>2</v>
      </c>
      <c r="F155" s="356" t="str">
        <f>IF(mmSubProd1Seg3FinModel="Sw - Deferral","**From FinDefContractLength","")</f>
        <v>**From FinDefContractLength</v>
      </c>
      <c r="G155" s="315"/>
      <c r="H155" s="355"/>
      <c r="I155" s="337"/>
      <c r="J155" s="337"/>
      <c r="K155" s="337"/>
      <c r="L155" s="337"/>
      <c r="M155" s="337"/>
      <c r="N155" s="337"/>
      <c r="O155" s="337"/>
      <c r="P155" s="337"/>
      <c r="Q155" s="337"/>
      <c r="R155" s="337"/>
      <c r="S155" s="346"/>
    </row>
    <row r="156" spans="1:22" s="285" customFormat="1">
      <c r="A156" s="296" t="b">
        <f>IF(mmSubProd1Seg3FinModel="SW - Deferral",FALSE,TRUE)</f>
        <v>0</v>
      </c>
      <c r="C156" s="357" t="s">
        <v>843</v>
      </c>
      <c r="D156" s="315"/>
      <c r="E156" s="359">
        <f>100%/E155</f>
        <v>0.5</v>
      </c>
      <c r="F156" s="356"/>
      <c r="G156" s="315"/>
      <c r="H156" s="355"/>
      <c r="I156" s="337"/>
      <c r="J156" s="337"/>
      <c r="K156" s="337"/>
      <c r="L156" s="337"/>
      <c r="M156" s="337"/>
      <c r="N156" s="337"/>
      <c r="O156" s="337"/>
      <c r="P156" s="337"/>
      <c r="Q156" s="337"/>
      <c r="R156" s="337"/>
      <c r="S156" s="346"/>
    </row>
    <row r="157" spans="1:22" s="285" customFormat="1" hidden="1">
      <c r="A157" s="296" t="b">
        <f>IF(mmSubProd1Seg3FinModel="SW - Recurring Revenue",FALSE,TRUE)</f>
        <v>1</v>
      </c>
      <c r="C157" s="357" t="s">
        <v>842</v>
      </c>
      <c r="D157" s="315"/>
      <c r="E157" s="358">
        <v>4</v>
      </c>
      <c r="F157" s="356" t="s">
        <v>841</v>
      </c>
      <c r="G157" s="315"/>
      <c r="H157" s="355"/>
      <c r="I157" s="337"/>
      <c r="J157" s="337"/>
      <c r="K157" s="337"/>
      <c r="L157" s="337"/>
      <c r="M157" s="337"/>
      <c r="N157" s="337"/>
      <c r="O157" s="337"/>
      <c r="P157" s="337"/>
      <c r="Q157" s="337"/>
      <c r="R157" s="337"/>
      <c r="S157" s="346"/>
    </row>
    <row r="158" spans="1:22" s="285" customFormat="1" hidden="1">
      <c r="A158" s="296" t="b">
        <f>IF(mmSubProd1Seg3FinModel="SW - Recurring Revenue",FALSE,TRUE)</f>
        <v>1</v>
      </c>
      <c r="C158" s="357" t="s">
        <v>840</v>
      </c>
      <c r="D158" s="315"/>
      <c r="E158" s="415">
        <f>1.5/E157</f>
        <v>0.375</v>
      </c>
      <c r="F158" s="356"/>
      <c r="G158" s="315"/>
      <c r="H158" s="355"/>
      <c r="I158" s="337"/>
      <c r="J158" s="337"/>
      <c r="K158" s="337"/>
      <c r="L158" s="337"/>
      <c r="M158" s="337"/>
      <c r="N158" s="337"/>
      <c r="O158" s="337"/>
      <c r="P158" s="337"/>
      <c r="Q158" s="337"/>
      <c r="R158" s="337"/>
      <c r="S158" s="346"/>
    </row>
    <row r="159" spans="1:22" s="285" customFormat="1">
      <c r="A159" s="296" t="b">
        <f>IF(mmSubProd1Seg3FinModel="SW - Deferral",FALSE,TRUE)</f>
        <v>0</v>
      </c>
      <c r="C159" s="357" t="s">
        <v>839</v>
      </c>
      <c r="D159" s="315"/>
      <c r="E159" s="359">
        <f>1-E156</f>
        <v>0.5</v>
      </c>
      <c r="F159" s="356"/>
      <c r="G159" s="315"/>
      <c r="H159" s="355"/>
      <c r="I159" s="337"/>
      <c r="J159" s="337"/>
      <c r="K159" s="337"/>
      <c r="L159" s="337"/>
      <c r="M159" s="337"/>
      <c r="N159" s="337"/>
      <c r="O159" s="337"/>
      <c r="P159" s="337"/>
      <c r="Q159" s="337"/>
      <c r="R159" s="337"/>
      <c r="S159" s="346"/>
    </row>
    <row r="160" spans="1:22" s="285" customFormat="1">
      <c r="A160" s="296" t="b">
        <f>IF(mmSubProd1Seg3FinModel="SW - Deferral",FALSE,TRUE)</f>
        <v>0</v>
      </c>
      <c r="C160" s="357" t="s">
        <v>838</v>
      </c>
      <c r="D160" s="315"/>
      <c r="E160" s="358">
        <f>Obal!$Q226</f>
        <v>45749340.000000015</v>
      </c>
      <c r="F160" s="356" t="s">
        <v>837</v>
      </c>
      <c r="G160" s="315"/>
      <c r="H160" s="355"/>
      <c r="I160" s="337"/>
      <c r="J160" s="337"/>
      <c r="K160" s="337"/>
      <c r="L160" s="337"/>
      <c r="M160" s="337"/>
      <c r="N160" s="337"/>
      <c r="O160" s="337"/>
      <c r="P160" s="337"/>
      <c r="Q160" s="337"/>
      <c r="R160" s="337"/>
      <c r="S160" s="346"/>
    </row>
    <row r="161" spans="1:23" s="285" customFormat="1" hidden="1">
      <c r="A161" s="296" t="b">
        <f>IF(mmSubProd1Seg3FinModel="SW - Recurring Revenue",FALSE,TRUE)</f>
        <v>1</v>
      </c>
      <c r="C161" s="357" t="s">
        <v>836</v>
      </c>
      <c r="D161" s="315"/>
      <c r="E161" s="358">
        <v>9000000</v>
      </c>
      <c r="F161" s="356" t="s">
        <v>835</v>
      </c>
      <c r="G161" s="315"/>
      <c r="H161" s="355"/>
      <c r="I161" s="337"/>
      <c r="J161" s="337"/>
      <c r="K161" s="337"/>
      <c r="L161" s="337"/>
      <c r="M161" s="337"/>
      <c r="N161" s="337"/>
      <c r="O161" s="337"/>
      <c r="P161" s="337"/>
      <c r="Q161" s="337"/>
      <c r="R161" s="337"/>
      <c r="S161" s="346"/>
    </row>
    <row r="162" spans="1:23" s="285" customFormat="1">
      <c r="C162" s="357" t="s">
        <v>188</v>
      </c>
      <c r="D162" s="315"/>
      <c r="E162" s="410">
        <f>dataProd1Price</f>
        <v>15</v>
      </c>
      <c r="F162" s="356" t="s">
        <v>834</v>
      </c>
      <c r="G162" s="315"/>
      <c r="H162" s="355"/>
      <c r="I162" s="337"/>
      <c r="J162" s="337"/>
      <c r="K162" s="337"/>
      <c r="L162" s="337"/>
      <c r="M162" s="337"/>
      <c r="N162" s="337"/>
      <c r="O162" s="337"/>
      <c r="P162" s="337"/>
      <c r="Q162" s="337"/>
      <c r="R162" s="337"/>
    </row>
    <row r="163" spans="1:23" s="337" customFormat="1">
      <c r="A163" s="285"/>
      <c r="B163" s="339"/>
      <c r="C163" s="354" t="s">
        <v>833</v>
      </c>
      <c r="D163" s="351"/>
      <c r="E163" s="353">
        <f>Obal!$Q$156</f>
        <v>10530000</v>
      </c>
      <c r="F163" s="352" t="s">
        <v>832</v>
      </c>
      <c r="G163" s="351"/>
      <c r="H163" s="350"/>
    </row>
    <row r="164" spans="1:23" s="337" customFormat="1">
      <c r="A164" s="285"/>
      <c r="E164" s="347"/>
    </row>
    <row r="165" spans="1:23" s="285" customFormat="1">
      <c r="A165" s="296" t="b">
        <f>IF(OR(mmSubProd1Seg3FinModel="SW - Deferral",mmSubProd1Seg3FinModel="Insurance"),FALSE,TRUE)</f>
        <v>0</v>
      </c>
      <c r="B165" s="334" t="s">
        <v>805</v>
      </c>
      <c r="C165" s="298" t="s">
        <v>831</v>
      </c>
      <c r="E165" s="287" t="s">
        <v>765</v>
      </c>
      <c r="F165" s="287" t="s">
        <v>764</v>
      </c>
      <c r="G165" s="287" t="s">
        <v>763</v>
      </c>
      <c r="H165" s="287" t="s">
        <v>762</v>
      </c>
      <c r="J165" s="337"/>
      <c r="K165" s="337"/>
      <c r="L165" s="337"/>
      <c r="M165" s="337"/>
      <c r="N165" s="337"/>
      <c r="O165" s="337"/>
      <c r="P165" s="337"/>
      <c r="Q165" s="337"/>
      <c r="R165" s="337"/>
      <c r="S165" s="337"/>
      <c r="T165" s="337"/>
      <c r="U165" s="337"/>
      <c r="V165" s="337"/>
      <c r="W165" s="337"/>
    </row>
    <row r="166" spans="1:23" s="285" customFormat="1">
      <c r="A166" s="296" t="b">
        <f>IF(OR(mmSubProd1Seg3FinModel="SW - Deferral",mmSubProd1Seg3FinModel="Insurance"),FALSE,TRUE)</f>
        <v>0</v>
      </c>
      <c r="C166" s="285" t="s">
        <v>821</v>
      </c>
      <c r="F166" s="325">
        <f>INDEX(dataProd1Seg3CloudRevGrowth,2)</f>
        <v>7.9999999999999863E-2</v>
      </c>
      <c r="G166" s="325">
        <f>INDEX(dataProd1Seg3CloudRevGrowth,3)</f>
        <v>0.10000000000000027</v>
      </c>
      <c r="H166" s="325">
        <f>INDEX(dataProd1Seg3CloudRevGrowth,4)</f>
        <v>0.12000000000000011</v>
      </c>
      <c r="J166" s="337"/>
      <c r="K166" s="337"/>
      <c r="L166" s="337"/>
      <c r="M166" s="337"/>
      <c r="N166" s="337"/>
      <c r="O166" s="337"/>
      <c r="P166" s="337"/>
      <c r="Q166" s="337"/>
      <c r="R166" s="337"/>
      <c r="S166" s="337"/>
      <c r="T166" s="337"/>
      <c r="U166" s="337"/>
      <c r="V166" s="337"/>
      <c r="W166" s="337"/>
    </row>
    <row r="167" spans="1:23" s="285" customFormat="1">
      <c r="A167" s="296" t="b">
        <f>IF(OR(mmSubProd1Seg3FinModel="SW - Deferral",mmSubProd1Seg3FinModel="Insurance"),FALSE,TRUE)</f>
        <v>0</v>
      </c>
      <c r="C167" s="285" t="s">
        <v>830</v>
      </c>
      <c r="E167" s="349">
        <f>INDEX(dataProd1Seg3CloudRev,1)</f>
        <v>109725000</v>
      </c>
      <c r="F167" s="335">
        <f>E167*(1+F166)</f>
        <v>118502999.99999999</v>
      </c>
      <c r="G167" s="335">
        <f>F167*(1+G166)</f>
        <v>130353300.00000001</v>
      </c>
      <c r="H167" s="335">
        <f>G167*(1+H166)</f>
        <v>145995696.00000003</v>
      </c>
      <c r="I167" s="285" t="s">
        <v>1397</v>
      </c>
      <c r="J167" s="337"/>
      <c r="K167" s="337"/>
      <c r="L167" s="337"/>
      <c r="M167" s="337"/>
      <c r="N167" s="337"/>
      <c r="O167" s="337"/>
      <c r="P167" s="337"/>
      <c r="Q167" s="337"/>
      <c r="R167" s="337"/>
      <c r="S167" s="337"/>
      <c r="T167" s="337"/>
      <c r="U167" s="337"/>
      <c r="V167" s="337"/>
      <c r="W167" s="337"/>
    </row>
    <row r="168" spans="1:23" s="337" customFormat="1">
      <c r="A168" s="296" t="b">
        <f t="shared" ref="A168:A179" si="6">IF(mmSubProd1Seg3FinModel="SW - Deferral",FALSE,TRUE)</f>
        <v>0</v>
      </c>
      <c r="E168" s="348"/>
    </row>
    <row r="169" spans="1:23" s="285" customFormat="1">
      <c r="A169" s="296" t="b">
        <f t="shared" si="6"/>
        <v>0</v>
      </c>
      <c r="B169" s="334" t="s">
        <v>805</v>
      </c>
      <c r="C169" s="298" t="s">
        <v>829</v>
      </c>
      <c r="E169" s="287" t="s">
        <v>765</v>
      </c>
      <c r="F169" s="287" t="s">
        <v>764</v>
      </c>
      <c r="G169" s="287" t="s">
        <v>763</v>
      </c>
      <c r="H169" s="287" t="s">
        <v>762</v>
      </c>
      <c r="J169" s="337"/>
      <c r="K169" s="337"/>
      <c r="L169" s="337"/>
      <c r="M169" s="337"/>
      <c r="N169" s="337"/>
      <c r="O169" s="337"/>
      <c r="P169" s="337"/>
      <c r="Q169" s="337"/>
      <c r="R169" s="337"/>
      <c r="S169" s="337"/>
      <c r="T169" s="337"/>
      <c r="U169" s="337"/>
      <c r="V169" s="337"/>
      <c r="W169" s="337"/>
    </row>
    <row r="170" spans="1:23" s="285" customFormat="1">
      <c r="A170" s="296" t="b">
        <f t="shared" si="6"/>
        <v>0</v>
      </c>
      <c r="C170" s="285" t="s">
        <v>214</v>
      </c>
      <c r="E170" s="335">
        <f>E160</f>
        <v>45749340.000000015</v>
      </c>
      <c r="F170" s="335">
        <f>E174</f>
        <v>63975659.999999985</v>
      </c>
      <c r="G170" s="335">
        <f>F174</f>
        <v>54527340</v>
      </c>
      <c r="H170" s="335">
        <f>G174</f>
        <v>75825960.000000015</v>
      </c>
      <c r="J170" s="337"/>
      <c r="K170" s="337"/>
      <c r="L170" s="337"/>
      <c r="M170" s="337"/>
      <c r="N170" s="337"/>
      <c r="O170" s="337"/>
      <c r="P170" s="337"/>
      <c r="Q170" s="337"/>
      <c r="R170" s="337"/>
      <c r="S170" s="337"/>
      <c r="T170" s="337"/>
      <c r="U170" s="337"/>
      <c r="V170" s="337"/>
      <c r="W170" s="337"/>
    </row>
    <row r="171" spans="1:23" s="285" customFormat="1">
      <c r="A171" s="296" t="b">
        <f t="shared" si="6"/>
        <v>0</v>
      </c>
      <c r="C171" s="285" t="s">
        <v>828</v>
      </c>
      <c r="E171" s="335">
        <f>E170*IF($E$155=1,0,IF($E$155=2,1,IF($E$155=3,0.5)))*-1</f>
        <v>-45749340.000000015</v>
      </c>
      <c r="F171" s="335">
        <f>F170*IF($E$155=1,0,IF($E$155=2,1,IF($E$155=3,0.5)))*-1</f>
        <v>-63975659.999999985</v>
      </c>
      <c r="G171" s="335">
        <f>G170*IF($E$155=1,0,IF($E$155=2,1,IF($E$155=3,0.5)))*-1</f>
        <v>-54527340</v>
      </c>
      <c r="H171" s="335">
        <f>H170*IF($E$155=1,0,IF($E$155=2,1,IF($E$155=3,0.5)))*-1</f>
        <v>-75825960.000000015</v>
      </c>
      <c r="J171" s="337"/>
      <c r="K171" s="337"/>
      <c r="L171" s="337"/>
      <c r="M171" s="337"/>
      <c r="N171" s="337"/>
      <c r="O171" s="337"/>
      <c r="P171" s="337"/>
      <c r="Q171" s="337"/>
      <c r="R171" s="337"/>
      <c r="S171" s="337"/>
      <c r="T171" s="337"/>
      <c r="U171" s="337"/>
      <c r="V171" s="337"/>
      <c r="W171" s="337"/>
    </row>
    <row r="172" spans="1:23" s="285" customFormat="1">
      <c r="A172" s="296" t="b">
        <f t="shared" si="6"/>
        <v>0</v>
      </c>
      <c r="C172" s="285" t="s">
        <v>827</v>
      </c>
      <c r="E172" s="335">
        <f>E179*$E$159</f>
        <v>63975659.999999985</v>
      </c>
      <c r="F172" s="335">
        <f>F179*$E$159</f>
        <v>54527340</v>
      </c>
      <c r="G172" s="335">
        <f>G179*$E$159</f>
        <v>75825960.000000015</v>
      </c>
      <c r="H172" s="335">
        <f>H179*$E$159</f>
        <v>70169736.000000015</v>
      </c>
      <c r="J172" s="337"/>
      <c r="K172" s="337"/>
      <c r="L172" s="337"/>
      <c r="M172" s="337"/>
      <c r="N172" s="337"/>
      <c r="O172" s="337"/>
      <c r="P172" s="337"/>
      <c r="Q172" s="337"/>
      <c r="R172" s="337"/>
      <c r="S172" s="337"/>
      <c r="T172" s="337"/>
      <c r="U172" s="337"/>
      <c r="V172" s="337"/>
      <c r="W172" s="337"/>
    </row>
    <row r="173" spans="1:23" s="309" customFormat="1" ht="2.1" customHeight="1">
      <c r="A173" s="296" t="b">
        <f t="shared" si="6"/>
        <v>0</v>
      </c>
      <c r="B173" s="285"/>
      <c r="C173" s="310"/>
      <c r="D173" s="312"/>
      <c r="E173" s="312"/>
      <c r="F173" s="311"/>
      <c r="G173" s="311"/>
      <c r="H173" s="311"/>
      <c r="J173" s="337"/>
      <c r="K173" s="337"/>
      <c r="L173" s="337"/>
      <c r="M173" s="337"/>
      <c r="N173" s="337"/>
      <c r="O173" s="337"/>
      <c r="P173" s="337"/>
      <c r="Q173" s="337"/>
      <c r="R173" s="337"/>
      <c r="S173" s="337"/>
      <c r="T173" s="337"/>
      <c r="U173" s="337"/>
      <c r="V173" s="337"/>
      <c r="W173" s="337"/>
    </row>
    <row r="174" spans="1:23" s="285" customFormat="1">
      <c r="A174" s="296" t="b">
        <f t="shared" si="6"/>
        <v>0</v>
      </c>
      <c r="C174" s="285" t="s">
        <v>215</v>
      </c>
      <c r="E174" s="335">
        <f>SUM(E170:E172)</f>
        <v>63975659.999999985</v>
      </c>
      <c r="F174" s="335">
        <f>SUM(F170:F172)</f>
        <v>54527340</v>
      </c>
      <c r="G174" s="335">
        <f>SUM(G170:G172)</f>
        <v>75825960.000000015</v>
      </c>
      <c r="H174" s="335">
        <f>SUM(H170:H172)</f>
        <v>70169736.000000015</v>
      </c>
      <c r="J174" s="337"/>
      <c r="K174" s="337"/>
      <c r="L174" s="337"/>
      <c r="M174" s="337"/>
      <c r="N174" s="337"/>
      <c r="O174" s="337"/>
      <c r="P174" s="337"/>
      <c r="Q174" s="337"/>
      <c r="R174" s="337"/>
      <c r="S174" s="337"/>
      <c r="T174" s="337"/>
      <c r="U174" s="337"/>
      <c r="V174" s="337"/>
      <c r="W174" s="337"/>
    </row>
    <row r="175" spans="1:23" s="337" customFormat="1">
      <c r="A175" s="296" t="b">
        <f t="shared" si="6"/>
        <v>0</v>
      </c>
      <c r="E175" s="347"/>
    </row>
    <row r="176" spans="1:23" s="285" customFormat="1">
      <c r="A176" s="296" t="b">
        <f t="shared" si="6"/>
        <v>0</v>
      </c>
      <c r="B176" s="334" t="s">
        <v>805</v>
      </c>
      <c r="C176" s="298" t="s">
        <v>826</v>
      </c>
      <c r="E176" s="287" t="s">
        <v>765</v>
      </c>
      <c r="F176" s="287" t="s">
        <v>764</v>
      </c>
      <c r="G176" s="287" t="s">
        <v>763</v>
      </c>
      <c r="H176" s="287" t="s">
        <v>762</v>
      </c>
      <c r="J176" s="337"/>
      <c r="K176" s="337"/>
      <c r="L176" s="337"/>
      <c r="M176" s="337"/>
      <c r="N176" s="337"/>
      <c r="O176" s="337"/>
      <c r="P176" s="337"/>
      <c r="Q176" s="337"/>
      <c r="R176" s="337"/>
      <c r="S176" s="337"/>
      <c r="T176" s="337"/>
      <c r="U176" s="337"/>
      <c r="V176" s="337"/>
      <c r="W176" s="337"/>
    </row>
    <row r="177" spans="1:23" s="285" customFormat="1">
      <c r="A177" s="296" t="b">
        <f t="shared" si="6"/>
        <v>0</v>
      </c>
      <c r="C177" s="285" t="s">
        <v>825</v>
      </c>
      <c r="E177" s="335">
        <f>-1*E171</f>
        <v>45749340.000000015</v>
      </c>
      <c r="F177" s="335">
        <f>-1*F171</f>
        <v>63975659.999999985</v>
      </c>
      <c r="G177" s="335">
        <f>-1*G171</f>
        <v>54527340</v>
      </c>
      <c r="H177" s="335">
        <f>-1*H171</f>
        <v>75825960.000000015</v>
      </c>
      <c r="J177" s="337"/>
      <c r="K177" s="337"/>
      <c r="L177" s="337"/>
      <c r="M177" s="337"/>
      <c r="N177" s="337"/>
      <c r="O177" s="337"/>
      <c r="P177" s="337"/>
      <c r="Q177" s="337"/>
      <c r="R177" s="337"/>
      <c r="S177" s="337"/>
      <c r="T177" s="337"/>
      <c r="U177" s="337"/>
      <c r="V177" s="337"/>
      <c r="W177" s="337"/>
    </row>
    <row r="178" spans="1:23" s="285" customFormat="1">
      <c r="A178" s="296" t="b">
        <f t="shared" si="6"/>
        <v>0</v>
      </c>
      <c r="C178" s="285" t="s">
        <v>824</v>
      </c>
      <c r="E178" s="335">
        <f>E167-E177</f>
        <v>63975659.999999985</v>
      </c>
      <c r="F178" s="335">
        <f>F167-F177</f>
        <v>54527340</v>
      </c>
      <c r="G178" s="335">
        <f>G167-G177</f>
        <v>75825960.000000015</v>
      </c>
      <c r="H178" s="335">
        <f>H167-H177</f>
        <v>70169736.000000015</v>
      </c>
      <c r="J178" s="337"/>
      <c r="K178" s="337"/>
      <c r="L178" s="337"/>
      <c r="M178" s="337"/>
      <c r="N178" s="337"/>
      <c r="O178" s="337"/>
      <c r="P178" s="337"/>
      <c r="Q178" s="337"/>
      <c r="R178" s="337"/>
      <c r="S178" s="337"/>
      <c r="T178" s="337"/>
      <c r="U178" s="337"/>
      <c r="V178" s="337"/>
      <c r="W178" s="337"/>
    </row>
    <row r="179" spans="1:23" s="285" customFormat="1">
      <c r="A179" s="296" t="b">
        <f t="shared" si="6"/>
        <v>0</v>
      </c>
      <c r="C179" s="285" t="s">
        <v>823</v>
      </c>
      <c r="E179" s="335">
        <f>E178*$E$155</f>
        <v>127951319.99999997</v>
      </c>
      <c r="F179" s="335">
        <f>F178*$E$155</f>
        <v>109054680</v>
      </c>
      <c r="G179" s="335">
        <f>G178*$E$155</f>
        <v>151651920.00000003</v>
      </c>
      <c r="H179" s="335">
        <f>H178*$E$155</f>
        <v>140339472.00000003</v>
      </c>
      <c r="I179" s="285" t="s">
        <v>1398</v>
      </c>
      <c r="J179" s="337"/>
      <c r="K179" s="337"/>
      <c r="L179" s="337"/>
      <c r="M179" s="337"/>
      <c r="N179" s="337"/>
      <c r="O179" s="337"/>
      <c r="P179" s="337"/>
      <c r="Q179" s="337"/>
      <c r="R179" s="337"/>
      <c r="S179" s="337"/>
      <c r="T179" s="337"/>
      <c r="U179" s="337"/>
      <c r="V179" s="337"/>
      <c r="W179" s="337"/>
    </row>
    <row r="180" spans="1:23" s="285" customFormat="1" hidden="1">
      <c r="A180" s="296" t="b">
        <f t="shared" ref="A180:A192" si="7">IF(mmSubProd1Seg3FinModel="SW - Recurring Revenue",FALSE,TRUE)</f>
        <v>1</v>
      </c>
      <c r="C180" s="298" t="s">
        <v>822</v>
      </c>
      <c r="E180" s="345" t="s">
        <v>765</v>
      </c>
      <c r="F180" s="345" t="s">
        <v>764</v>
      </c>
      <c r="G180" s="345" t="s">
        <v>763</v>
      </c>
      <c r="H180" s="345" t="s">
        <v>762</v>
      </c>
      <c r="J180" s="337"/>
      <c r="K180" s="337"/>
      <c r="L180" s="337"/>
      <c r="M180" s="337"/>
      <c r="N180" s="337"/>
      <c r="O180" s="337"/>
      <c r="P180" s="337"/>
      <c r="Q180" s="337"/>
      <c r="R180" s="337"/>
      <c r="S180" s="337"/>
      <c r="T180" s="337"/>
      <c r="U180" s="337"/>
      <c r="V180" s="337"/>
      <c r="W180" s="337"/>
    </row>
    <row r="181" spans="1:23" s="285" customFormat="1" hidden="1">
      <c r="A181" s="296" t="b">
        <f t="shared" si="7"/>
        <v>1</v>
      </c>
      <c r="C181" s="285" t="s">
        <v>821</v>
      </c>
      <c r="E181" s="300"/>
      <c r="F181" s="344">
        <v>0.1</v>
      </c>
      <c r="G181" s="344">
        <v>0.1</v>
      </c>
      <c r="H181" s="344">
        <v>0.1</v>
      </c>
      <c r="J181" s="337"/>
      <c r="K181" s="337"/>
      <c r="L181" s="337"/>
      <c r="M181" s="337"/>
      <c r="N181" s="337"/>
      <c r="O181" s="337"/>
      <c r="P181" s="337"/>
      <c r="Q181" s="337"/>
      <c r="R181" s="337"/>
      <c r="S181" s="337"/>
      <c r="T181" s="337"/>
      <c r="U181" s="337"/>
      <c r="V181" s="337"/>
      <c r="W181" s="337"/>
    </row>
    <row r="182" spans="1:23" s="285" customFormat="1" hidden="1">
      <c r="A182" s="296" t="b">
        <f t="shared" si="7"/>
        <v>1</v>
      </c>
      <c r="C182" s="285" t="s">
        <v>820</v>
      </c>
      <c r="E182" s="343">
        <v>11000000</v>
      </c>
      <c r="F182" s="335">
        <f>E182*(1+F181)</f>
        <v>12100000.000000002</v>
      </c>
      <c r="G182" s="335">
        <f>F182*(1+G181)</f>
        <v>13310000.000000004</v>
      </c>
      <c r="H182" s="335">
        <f>G182*(1+H181)</f>
        <v>14641000.000000006</v>
      </c>
      <c r="I182" s="285" t="s">
        <v>1399</v>
      </c>
      <c r="J182" s="337"/>
      <c r="K182" s="337"/>
      <c r="L182" s="337"/>
      <c r="M182" s="337"/>
      <c r="N182" s="337"/>
      <c r="O182" s="337"/>
      <c r="P182" s="337"/>
      <c r="Q182" s="337"/>
      <c r="R182" s="337"/>
      <c r="S182" s="337"/>
      <c r="T182" s="337"/>
      <c r="U182" s="337"/>
      <c r="V182" s="337"/>
      <c r="W182" s="337"/>
    </row>
    <row r="183" spans="1:23" s="285" customFormat="1" hidden="1">
      <c r="A183" s="296" t="b">
        <f t="shared" si="7"/>
        <v>1</v>
      </c>
      <c r="J183" s="337"/>
      <c r="K183" s="337"/>
      <c r="L183" s="337"/>
      <c r="M183" s="337"/>
      <c r="N183" s="337"/>
      <c r="O183" s="337"/>
      <c r="P183" s="337"/>
      <c r="Q183" s="337"/>
      <c r="R183" s="337"/>
      <c r="S183" s="337"/>
      <c r="T183" s="337"/>
      <c r="U183" s="337"/>
      <c r="V183" s="337"/>
      <c r="W183" s="337"/>
    </row>
    <row r="184" spans="1:23" s="285" customFormat="1" hidden="1">
      <c r="A184" s="296" t="b">
        <f t="shared" si="7"/>
        <v>1</v>
      </c>
      <c r="C184" s="298" t="s">
        <v>819</v>
      </c>
      <c r="J184" s="337"/>
      <c r="K184" s="337"/>
      <c r="L184" s="337"/>
      <c r="M184" s="337"/>
      <c r="N184" s="337"/>
      <c r="O184" s="337"/>
      <c r="P184" s="337"/>
      <c r="Q184" s="337"/>
      <c r="R184" s="337"/>
      <c r="S184" s="337"/>
      <c r="T184" s="337"/>
      <c r="U184" s="337"/>
      <c r="V184" s="337"/>
      <c r="W184" s="337"/>
    </row>
    <row r="185" spans="1:23" s="285" customFormat="1" hidden="1">
      <c r="A185" s="296" t="b">
        <f t="shared" si="7"/>
        <v>1</v>
      </c>
      <c r="C185" s="285" t="s">
        <v>818</v>
      </c>
      <c r="E185" s="335">
        <f>E161</f>
        <v>9000000</v>
      </c>
      <c r="F185" s="335">
        <f>E182</f>
        <v>11000000</v>
      </c>
      <c r="G185" s="335">
        <f>F182</f>
        <v>12100000.000000002</v>
      </c>
      <c r="H185" s="335">
        <f>G182</f>
        <v>13310000.000000004</v>
      </c>
      <c r="J185" s="337"/>
      <c r="K185" s="337"/>
      <c r="L185" s="337"/>
      <c r="M185" s="337"/>
      <c r="N185" s="337"/>
      <c r="O185" s="337"/>
      <c r="P185" s="337"/>
      <c r="Q185" s="337"/>
      <c r="R185" s="337"/>
      <c r="S185" s="337"/>
      <c r="T185" s="337"/>
      <c r="U185" s="337"/>
      <c r="V185" s="337"/>
      <c r="W185" s="337"/>
    </row>
    <row r="186" spans="1:23" s="285" customFormat="1" hidden="1">
      <c r="A186" s="296" t="b">
        <f t="shared" si="7"/>
        <v>1</v>
      </c>
      <c r="C186" s="285" t="s">
        <v>817</v>
      </c>
      <c r="E186" s="335">
        <f>E182-E185</f>
        <v>2000000</v>
      </c>
      <c r="F186" s="335">
        <f>F182-F185</f>
        <v>1100000.0000000019</v>
      </c>
      <c r="G186" s="335">
        <f>G182-G185</f>
        <v>1210000.0000000019</v>
      </c>
      <c r="H186" s="335">
        <f>H182-H185</f>
        <v>1331000.0000000019</v>
      </c>
      <c r="I186" s="285" t="s">
        <v>1400</v>
      </c>
      <c r="J186" s="337"/>
      <c r="K186" s="337"/>
      <c r="L186" s="337"/>
      <c r="M186" s="337"/>
      <c r="N186" s="337"/>
      <c r="O186" s="337"/>
      <c r="P186" s="337"/>
      <c r="Q186" s="337"/>
      <c r="R186" s="337"/>
      <c r="S186" s="337"/>
      <c r="T186" s="337"/>
      <c r="U186" s="337"/>
      <c r="V186" s="337"/>
      <c r="W186" s="337"/>
    </row>
    <row r="187" spans="1:23" s="285" customFormat="1" hidden="1">
      <c r="A187" s="296" t="b">
        <f t="shared" si="7"/>
        <v>1</v>
      </c>
      <c r="J187" s="337"/>
      <c r="K187" s="337"/>
      <c r="L187" s="337"/>
      <c r="M187" s="337"/>
      <c r="N187" s="337"/>
      <c r="O187" s="337"/>
      <c r="P187" s="337"/>
      <c r="Q187" s="337"/>
      <c r="R187" s="337"/>
      <c r="S187" s="337"/>
      <c r="T187" s="337"/>
      <c r="U187" s="337"/>
      <c r="V187" s="337"/>
      <c r="W187" s="337"/>
    </row>
    <row r="188" spans="1:23" s="285" customFormat="1" hidden="1">
      <c r="A188" s="296" t="b">
        <f t="shared" si="7"/>
        <v>1</v>
      </c>
      <c r="C188" s="285" t="s">
        <v>816</v>
      </c>
      <c r="E188" s="335">
        <f>$E$161+E186*$E$158</f>
        <v>9750000</v>
      </c>
      <c r="F188" s="335">
        <f>F185+F186*$E$158</f>
        <v>11412500</v>
      </c>
      <c r="G188" s="335">
        <f>G185+G186*$E$158</f>
        <v>12553750.000000002</v>
      </c>
      <c r="H188" s="335">
        <f>H185+H186*$E$158</f>
        <v>13809125.000000004</v>
      </c>
      <c r="J188" s="337"/>
      <c r="K188" s="337"/>
      <c r="L188" s="337"/>
      <c r="M188" s="337"/>
      <c r="N188" s="337"/>
      <c r="O188" s="337"/>
      <c r="P188" s="337"/>
      <c r="Q188" s="337"/>
      <c r="R188" s="337"/>
      <c r="S188" s="337"/>
      <c r="T188" s="337"/>
      <c r="U188" s="337"/>
      <c r="V188" s="337"/>
      <c r="W188" s="337"/>
    </row>
    <row r="189" spans="1:23" s="285" customFormat="1" hidden="1">
      <c r="A189" s="296" t="b">
        <f t="shared" si="7"/>
        <v>1</v>
      </c>
      <c r="J189" s="337"/>
      <c r="K189" s="337"/>
      <c r="L189" s="337"/>
      <c r="M189" s="337"/>
      <c r="N189" s="337"/>
      <c r="O189" s="337"/>
      <c r="P189" s="337"/>
      <c r="Q189" s="337"/>
      <c r="R189" s="337"/>
      <c r="S189" s="337"/>
      <c r="T189" s="337"/>
      <c r="U189" s="337"/>
      <c r="V189" s="337"/>
      <c r="W189" s="337"/>
    </row>
    <row r="190" spans="1:23" s="285" customFormat="1" hidden="1">
      <c r="A190" s="296" t="b">
        <f t="shared" si="7"/>
        <v>1</v>
      </c>
      <c r="C190" s="285" t="s">
        <v>808</v>
      </c>
      <c r="E190" s="325">
        <v>0.8</v>
      </c>
      <c r="F190" s="325">
        <v>0.8</v>
      </c>
      <c r="G190" s="325">
        <v>0.8</v>
      </c>
      <c r="H190" s="325">
        <v>0.8</v>
      </c>
      <c r="J190" s="337"/>
      <c r="K190" s="337"/>
      <c r="L190" s="337"/>
      <c r="M190" s="337"/>
      <c r="N190" s="337"/>
      <c r="O190" s="337"/>
      <c r="P190" s="337"/>
      <c r="Q190" s="337"/>
      <c r="R190" s="337"/>
      <c r="S190" s="337"/>
      <c r="T190" s="337"/>
      <c r="U190" s="337"/>
      <c r="V190" s="337"/>
      <c r="W190" s="337"/>
    </row>
    <row r="191" spans="1:23" s="285" customFormat="1" hidden="1">
      <c r="A191" s="296" t="b">
        <f t="shared" si="7"/>
        <v>1</v>
      </c>
      <c r="C191" s="285" t="s">
        <v>815</v>
      </c>
      <c r="E191" s="335">
        <f>-1*E163*$E$162*(1-E190)</f>
        <v>-31589999.999999993</v>
      </c>
      <c r="F191" s="335">
        <f>-1*SUM(E201:E202)*$E$162*(1-F190)</f>
        <v>-25590263.999999989</v>
      </c>
      <c r="G191" s="335">
        <f>-1*SUM(F201:F202)*$E$162*(1-G190)</f>
        <v>-21810935.999999996</v>
      </c>
      <c r="H191" s="335">
        <f>-1*SUM(G201:G202)*$E$162*(1-H190)</f>
        <v>-30330384</v>
      </c>
      <c r="J191" s="337"/>
      <c r="K191" s="337"/>
      <c r="L191" s="337"/>
      <c r="M191" s="337"/>
      <c r="N191" s="337"/>
      <c r="O191" s="337"/>
      <c r="P191" s="337"/>
      <c r="Q191" s="337"/>
      <c r="R191" s="337"/>
      <c r="S191" s="337"/>
      <c r="T191" s="337"/>
      <c r="U191" s="337"/>
      <c r="V191" s="337"/>
      <c r="W191" s="337"/>
    </row>
    <row r="192" spans="1:23" s="285" customFormat="1" hidden="1">
      <c r="A192" s="296" t="b">
        <f t="shared" si="7"/>
        <v>1</v>
      </c>
      <c r="C192" s="285" t="s">
        <v>814</v>
      </c>
      <c r="E192" s="335">
        <f>E186-E191</f>
        <v>33589999.999999993</v>
      </c>
      <c r="F192" s="335">
        <f>F186-F191</f>
        <v>26690263.999999993</v>
      </c>
      <c r="G192" s="335">
        <f>G186-G191</f>
        <v>23020936</v>
      </c>
      <c r="H192" s="335">
        <f>H186-H191</f>
        <v>31661384</v>
      </c>
      <c r="J192" s="337"/>
      <c r="K192" s="337"/>
      <c r="L192" s="337"/>
      <c r="M192" s="337"/>
      <c r="N192" s="337"/>
      <c r="O192" s="337"/>
      <c r="P192" s="337"/>
      <c r="Q192" s="337"/>
      <c r="R192" s="337"/>
      <c r="S192" s="337"/>
      <c r="T192" s="337"/>
      <c r="U192" s="337"/>
      <c r="V192" s="337"/>
      <c r="W192" s="337"/>
    </row>
    <row r="193" spans="1:23" s="285" customFormat="1">
      <c r="A193" s="296" t="b">
        <f>IF(OR(mmSubProd1Seg3FinModel="SW - Deferral",mmSubProd1Seg3FinModel="Insurance"),FALSE,TRUE)</f>
        <v>0</v>
      </c>
      <c r="E193" s="300"/>
      <c r="F193" s="300"/>
      <c r="G193" s="300"/>
      <c r="H193" s="300"/>
      <c r="J193" s="337"/>
      <c r="K193" s="337"/>
      <c r="L193" s="337"/>
      <c r="M193" s="337"/>
      <c r="N193" s="337"/>
      <c r="O193" s="337"/>
      <c r="P193" s="337"/>
      <c r="Q193" s="337"/>
      <c r="R193" s="337"/>
      <c r="S193" s="337"/>
      <c r="T193" s="337"/>
      <c r="U193" s="337"/>
      <c r="V193" s="337"/>
      <c r="W193" s="337"/>
    </row>
    <row r="194" spans="1:23" s="285" customFormat="1">
      <c r="A194" s="296" t="b">
        <f>IF(OR(mmSubProd1Seg3FinModel="SW - Deferral",mmSubProd1Seg3FinModel="Insurance"),FALSE,TRUE)</f>
        <v>0</v>
      </c>
      <c r="B194" s="334" t="s">
        <v>805</v>
      </c>
      <c r="C194" s="298" t="s">
        <v>813</v>
      </c>
      <c r="E194" s="287" t="s">
        <v>765</v>
      </c>
      <c r="F194" s="287" t="s">
        <v>764</v>
      </c>
      <c r="G194" s="287" t="s">
        <v>763</v>
      </c>
      <c r="H194" s="287" t="s">
        <v>762</v>
      </c>
      <c r="J194" s="337"/>
      <c r="K194" s="337"/>
      <c r="L194" s="337"/>
      <c r="M194" s="337"/>
      <c r="N194" s="337"/>
      <c r="O194" s="337"/>
      <c r="P194" s="337"/>
      <c r="Q194" s="337"/>
      <c r="R194" s="337"/>
      <c r="S194" s="337"/>
      <c r="T194" s="337"/>
      <c r="U194" s="337"/>
      <c r="V194" s="337"/>
      <c r="W194" s="337"/>
    </row>
    <row r="195" spans="1:23" s="285" customFormat="1">
      <c r="A195" s="296" t="b">
        <f>IF(OR(mmSubProd1Seg3FinModel="SW - Deferral",mmSubProd1Seg3FinModel="Insurance"),FALSE,TRUE)</f>
        <v>0</v>
      </c>
      <c r="C195" s="285" t="s">
        <v>812</v>
      </c>
      <c r="E195" s="335">
        <f>IF(OR(mmSubProd1Seg3FinModel="SW - Deferral",mmSubProd1Seg3FinModel="Insurance"),E179/$E$162,0)</f>
        <v>8530087.9999999981</v>
      </c>
      <c r="F195" s="335">
        <f>IF(OR(mmSubProd1Seg3FinModel="SW - Deferral",mmSubProd1Seg3FinModel="Insurance"),F179/$E$162,0)</f>
        <v>7270312</v>
      </c>
      <c r="G195" s="335">
        <f>IF(OR(mmSubProd1Seg3FinModel="SW - Deferral",mmSubProd1Seg3FinModel="Insurance"),G179/$E$162,0)</f>
        <v>10110128.000000002</v>
      </c>
      <c r="H195" s="335">
        <f>IF(OR(mmSubProd1Seg3FinModel="SW - Deferral",mmSubProd1Seg3FinModel="Insurance"),H179/$E$162,0)</f>
        <v>9355964.8000000026</v>
      </c>
      <c r="J195" s="337"/>
      <c r="K195" s="337"/>
      <c r="L195" s="337"/>
      <c r="M195" s="337"/>
      <c r="N195" s="337"/>
      <c r="O195" s="337"/>
      <c r="P195" s="337"/>
      <c r="Q195" s="337"/>
      <c r="R195" s="337"/>
      <c r="S195" s="337"/>
      <c r="T195" s="337"/>
      <c r="U195" s="337"/>
      <c r="V195" s="337"/>
      <c r="W195" s="337"/>
    </row>
    <row r="196" spans="1:23" s="337" customFormat="1">
      <c r="A196" s="285"/>
      <c r="E196" s="342"/>
      <c r="F196" s="342"/>
      <c r="G196" s="342"/>
      <c r="H196" s="342"/>
    </row>
    <row r="197" spans="1:23" s="285" customFormat="1">
      <c r="B197" s="334" t="s">
        <v>805</v>
      </c>
      <c r="C197" s="298" t="s">
        <v>811</v>
      </c>
      <c r="E197" s="287" t="s">
        <v>765</v>
      </c>
      <c r="F197" s="287" t="s">
        <v>764</v>
      </c>
      <c r="G197" s="287" t="s">
        <v>763</v>
      </c>
      <c r="H197" s="287" t="s">
        <v>762</v>
      </c>
      <c r="J197" s="337"/>
      <c r="K197" s="337"/>
      <c r="L197" s="337"/>
      <c r="M197" s="337"/>
      <c r="N197" s="337"/>
      <c r="O197" s="337"/>
      <c r="P197" s="337"/>
      <c r="Q197" s="337"/>
      <c r="R197" s="337"/>
      <c r="S197" s="337"/>
      <c r="T197" s="337"/>
      <c r="U197" s="337"/>
      <c r="V197" s="337"/>
      <c r="W197" s="337"/>
    </row>
    <row r="198" spans="1:23" s="285" customFormat="1" hidden="1">
      <c r="A198" s="296" t="b">
        <f>IF(mmSubProd1Seg3FinModel="Insurance",FALSE,TRUE)</f>
        <v>1</v>
      </c>
      <c r="C198" s="285" t="s">
        <v>810</v>
      </c>
      <c r="E198" s="317">
        <v>1.4999999999999999E-2</v>
      </c>
      <c r="F198" s="317">
        <v>1.4999999999999999E-2</v>
      </c>
      <c r="G198" s="317">
        <v>1.4999999999999999E-2</v>
      </c>
      <c r="H198" s="317">
        <v>1.4999999999999999E-2</v>
      </c>
      <c r="J198" s="337"/>
      <c r="K198" s="337"/>
      <c r="L198" s="337"/>
      <c r="M198" s="337"/>
      <c r="N198" s="337"/>
      <c r="O198" s="337"/>
      <c r="P198" s="337"/>
      <c r="Q198" s="337"/>
      <c r="R198" s="337"/>
      <c r="S198" s="337"/>
      <c r="T198" s="337"/>
      <c r="U198" s="337"/>
      <c r="V198" s="337"/>
      <c r="W198" s="337"/>
    </row>
    <row r="199" spans="1:23" s="285" customFormat="1" hidden="1">
      <c r="A199" s="296" t="b">
        <f>IF(mmSubProd1Seg3FinModel="Insurance",FALSE,TRUE)</f>
        <v>1</v>
      </c>
      <c r="C199" s="285" t="s">
        <v>809</v>
      </c>
      <c r="E199" s="335">
        <f>E163*E198*(mmSubProd1Seg3FinModel="Insurance")*(-1)</f>
        <v>0</v>
      </c>
      <c r="F199" s="335">
        <f>SUM(E201,E202)*F198*(mmSubProd1Seg3FinModel="Insurance")*(-1)</f>
        <v>0</v>
      </c>
      <c r="G199" s="335">
        <f>SUM(F201,F202)*G198*(mmSubProd1Seg3FinModel="Insurance")*(-1)</f>
        <v>0</v>
      </c>
      <c r="H199" s="335">
        <f>SUM(G201,G202)*H198*(mmSubProd1Seg3FinModel="Insurance")*(-1)</f>
        <v>0</v>
      </c>
      <c r="J199" s="337"/>
      <c r="K199" s="337"/>
      <c r="L199" s="337"/>
      <c r="M199" s="337"/>
      <c r="N199" s="337"/>
      <c r="O199" s="337"/>
      <c r="P199" s="337"/>
      <c r="Q199" s="337"/>
      <c r="R199" s="337"/>
      <c r="S199" s="337"/>
      <c r="T199" s="337"/>
      <c r="U199" s="337"/>
      <c r="V199" s="337"/>
      <c r="W199" s="337"/>
    </row>
    <row r="200" spans="1:23" s="285" customFormat="1">
      <c r="A200" s="296" t="b">
        <f>IF(OR(mmSubProd1Seg3FinModel="SW - Deferral",mmSubProd1Seg3FinModel="Insurance"),FALSE,TRUE)</f>
        <v>0</v>
      </c>
      <c r="C200" s="285" t="s">
        <v>808</v>
      </c>
      <c r="E200" s="325">
        <v>0.7</v>
      </c>
      <c r="F200" s="325">
        <v>0.7</v>
      </c>
      <c r="G200" s="325">
        <v>0.7</v>
      </c>
      <c r="H200" s="325">
        <v>0.7</v>
      </c>
      <c r="I200" s="302" t="s">
        <v>807</v>
      </c>
      <c r="J200" s="337"/>
      <c r="K200" s="337"/>
      <c r="L200" s="337"/>
      <c r="M200" s="337"/>
      <c r="N200" s="337"/>
      <c r="O200" s="337"/>
      <c r="P200" s="337"/>
      <c r="Q200" s="337"/>
      <c r="R200" s="337"/>
      <c r="S200" s="337"/>
      <c r="T200" s="337"/>
      <c r="U200" s="337"/>
      <c r="V200" s="337"/>
      <c r="W200" s="337"/>
    </row>
    <row r="201" spans="1:23" s="285" customFormat="1">
      <c r="C201" s="285" t="s">
        <v>768</v>
      </c>
      <c r="E201" s="335">
        <f>E163*IF(OR(mmSubProd1Seg3FinModel="SW - Deferral",mmSubProd1Seg3FinModel="Insurance"),E200,E190)+E199</f>
        <v>7370999.9999999991</v>
      </c>
      <c r="F201" s="335">
        <f>SUM(E201,E202)*IF(OR(mmSubProd1Seg3FinModel="SW - Deferral",mmSubProd1Seg3FinModel="Insurance"),F200,F190)+F199</f>
        <v>5971061.5999999987</v>
      </c>
      <c r="G201" s="335">
        <f>SUM(F201,F202)*IF(OR(mmSubProd1Seg3FinModel="SW - Deferral",mmSubProd1Seg3FinModel="Insurance"),G200,G190)+G199</f>
        <v>5089218.3999999994</v>
      </c>
      <c r="H201" s="335">
        <f>SUM(G201,G202)*IF(OR(mmSubProd1Seg3FinModel="SW - Deferral",mmSubProd1Seg3FinModel="Insurance"),H200,H190)+H199</f>
        <v>7077089.6000000006</v>
      </c>
      <c r="J201" s="337"/>
      <c r="K201" s="337"/>
      <c r="L201" s="337"/>
      <c r="M201" s="337"/>
      <c r="N201" s="337"/>
      <c r="O201" s="337"/>
      <c r="P201" s="337"/>
      <c r="Q201" s="337"/>
      <c r="R201" s="337"/>
      <c r="S201" s="337"/>
      <c r="T201" s="337"/>
      <c r="U201" s="337"/>
      <c r="V201" s="337"/>
      <c r="W201" s="337"/>
    </row>
    <row r="202" spans="1:23" s="285" customFormat="1">
      <c r="C202" s="285" t="s">
        <v>806</v>
      </c>
      <c r="E202" s="335">
        <f>IF(mmSubProd1Seg3FinModel="SW - Deferral",E195-E201,IF(mmSubProd1Seg3FinModel="Insurance",E195-E201,E192/$E$162))</f>
        <v>1159087.9999999991</v>
      </c>
      <c r="F202" s="335">
        <f>IF(mmSubProd1Seg3FinModel="SW - Deferral",F195-F201,IF(mmSubProd1Seg3FinModel="Insurance",F195-F201,F192/$E$162))</f>
        <v>1299250.4000000013</v>
      </c>
      <c r="G202" s="335">
        <f>IF(mmSubProd1Seg3FinModel="SW - Deferral",G195-G201,IF(mmSubProd1Seg3FinModel="Insurance",G195-G201,G192/$E$162))</f>
        <v>5020909.6000000024</v>
      </c>
      <c r="H202" s="335">
        <f>IF(mmSubProd1Seg3FinModel="SW - Deferral",H195-H201,IF(mmSubProd1Seg3FinModel="Insurance",H195-H201,H192/$E$162))</f>
        <v>2278875.200000002</v>
      </c>
      <c r="I202" s="302" t="str">
        <f>IF(mmSubProd1Seg3AttachSwitch="no","**This value times 5 determines mmSubProd1Seg3NewTAM","")</f>
        <v>**This value times 5 determines mmSubProd1Seg3NewTAM</v>
      </c>
      <c r="J202" s="337"/>
      <c r="K202" s="337"/>
      <c r="L202" s="337"/>
      <c r="M202" s="337"/>
      <c r="N202" s="337"/>
      <c r="O202" s="337"/>
      <c r="P202" s="337"/>
      <c r="Q202" s="337"/>
      <c r="R202" s="337"/>
      <c r="S202" s="337"/>
      <c r="T202" s="337"/>
      <c r="U202" s="337"/>
      <c r="V202" s="337"/>
      <c r="W202" s="337"/>
    </row>
    <row r="203" spans="1:23" s="336" customFormat="1" ht="12.9" customHeight="1">
      <c r="A203" s="285"/>
      <c r="E203" s="341"/>
      <c r="F203" s="341"/>
      <c r="G203" s="341"/>
      <c r="H203" s="341"/>
      <c r="J203" s="337"/>
      <c r="K203" s="337"/>
      <c r="L203" s="337"/>
      <c r="M203" s="337"/>
      <c r="N203" s="337"/>
      <c r="O203" s="337"/>
      <c r="P203" s="337"/>
      <c r="Q203" s="337"/>
      <c r="R203" s="337"/>
      <c r="S203" s="337"/>
      <c r="T203" s="337"/>
      <c r="U203" s="337"/>
      <c r="V203" s="337"/>
      <c r="W203" s="337"/>
    </row>
    <row r="204" spans="1:23" s="336" customFormat="1" ht="12.9" hidden="1" customHeight="1">
      <c r="A204" s="296" t="b">
        <f t="shared" ref="A204:A211" si="8">IF(mmSubProd1Seg3AttachSwitch="no",TRUE,FALSE)</f>
        <v>1</v>
      </c>
      <c r="B204" s="334" t="s">
        <v>805</v>
      </c>
      <c r="C204" s="340" t="s">
        <v>804</v>
      </c>
      <c r="D204" s="337"/>
      <c r="E204" s="287" t="s">
        <v>765</v>
      </c>
      <c r="F204" s="287" t="s">
        <v>764</v>
      </c>
      <c r="G204" s="287" t="s">
        <v>763</v>
      </c>
      <c r="H204" s="287" t="s">
        <v>762</v>
      </c>
      <c r="I204" s="337"/>
      <c r="J204" s="337"/>
      <c r="K204" s="337"/>
      <c r="L204" s="337"/>
      <c r="M204" s="337"/>
      <c r="N204" s="337"/>
      <c r="O204" s="337"/>
      <c r="P204" s="337"/>
      <c r="Q204" s="337"/>
      <c r="R204" s="337"/>
      <c r="S204" s="337"/>
      <c r="T204" s="337"/>
      <c r="U204" s="337"/>
      <c r="V204" s="337"/>
      <c r="W204" s="337"/>
    </row>
    <row r="205" spans="1:23" s="336" customFormat="1" ht="12.9" hidden="1" customHeight="1">
      <c r="A205" s="296" t="b">
        <f t="shared" si="8"/>
        <v>1</v>
      </c>
      <c r="B205" s="339"/>
      <c r="C205" s="337" t="s">
        <v>803</v>
      </c>
      <c r="D205" s="337"/>
      <c r="E205" s="338">
        <v>2000</v>
      </c>
      <c r="F205" s="338">
        <f>E205*(1.1)</f>
        <v>2200</v>
      </c>
      <c r="G205" s="338">
        <f>F205*(1.1)</f>
        <v>2420</v>
      </c>
      <c r="H205" s="338">
        <f>G205*(1.1)</f>
        <v>2662</v>
      </c>
      <c r="I205" s="302" t="s">
        <v>802</v>
      </c>
      <c r="J205" s="337"/>
      <c r="K205" s="337"/>
      <c r="L205" s="337"/>
      <c r="M205" s="337"/>
      <c r="N205" s="337"/>
      <c r="O205" s="337"/>
      <c r="P205" s="337"/>
      <c r="Q205" s="337"/>
      <c r="R205" s="337"/>
      <c r="S205" s="337"/>
      <c r="T205" s="337"/>
      <c r="U205" s="337"/>
      <c r="V205" s="337"/>
      <c r="W205" s="337"/>
    </row>
    <row r="206" spans="1:23" s="301" customFormat="1" ht="12.9" hidden="1" customHeight="1">
      <c r="A206" s="296" t="b">
        <f t="shared" si="8"/>
        <v>1</v>
      </c>
      <c r="B206" s="285"/>
      <c r="C206" s="285"/>
      <c r="D206" s="285"/>
      <c r="E206" s="285"/>
      <c r="F206" s="285"/>
      <c r="G206" s="285"/>
      <c r="H206" s="285"/>
      <c r="I206" s="302"/>
      <c r="J206" s="337"/>
      <c r="K206" s="337"/>
      <c r="L206" s="337"/>
      <c r="M206" s="337"/>
      <c r="N206" s="337"/>
      <c r="O206" s="337"/>
      <c r="P206" s="337"/>
      <c r="Q206" s="337"/>
      <c r="R206" s="337"/>
      <c r="S206" s="337"/>
      <c r="T206" s="337"/>
      <c r="U206" s="337"/>
      <c r="V206" s="337"/>
      <c r="W206" s="337"/>
    </row>
    <row r="207" spans="1:23" s="301" customFormat="1" ht="12.9" hidden="1" customHeight="1">
      <c r="A207" s="296" t="b">
        <f t="shared" si="8"/>
        <v>1</v>
      </c>
      <c r="B207" s="285"/>
      <c r="C207" s="298" t="s">
        <v>801</v>
      </c>
      <c r="D207" s="285"/>
      <c r="E207" s="287" t="s">
        <v>765</v>
      </c>
      <c r="F207" s="287" t="s">
        <v>764</v>
      </c>
      <c r="G207" s="287" t="s">
        <v>763</v>
      </c>
      <c r="H207" s="287" t="s">
        <v>762</v>
      </c>
      <c r="I207" s="302"/>
      <c r="J207" s="337"/>
      <c r="K207" s="337"/>
      <c r="L207" s="337"/>
      <c r="M207" s="337"/>
      <c r="N207" s="337"/>
      <c r="O207" s="337"/>
      <c r="P207" s="337"/>
      <c r="Q207" s="337"/>
      <c r="R207" s="337"/>
      <c r="S207" s="337"/>
      <c r="T207" s="337"/>
      <c r="U207" s="337"/>
      <c r="V207" s="337"/>
      <c r="W207" s="337"/>
    </row>
    <row r="208" spans="1:23" s="301" customFormat="1" ht="12.9" hidden="1" customHeight="1">
      <c r="A208" s="296" t="b">
        <f t="shared" si="8"/>
        <v>1</v>
      </c>
      <c r="B208" s="285"/>
      <c r="C208" s="285" t="s">
        <v>800</v>
      </c>
      <c r="D208" s="285"/>
      <c r="E208" s="319">
        <v>0.05</v>
      </c>
      <c r="F208" s="325">
        <f>IF(mmSubProd1Seg3AttachSwitch="yes",5%,0)</f>
        <v>0</v>
      </c>
      <c r="G208" s="325">
        <f>IF(mmSubProd1Seg3AttachSwitch="yes",5%,0)</f>
        <v>0</v>
      </c>
      <c r="H208" s="325">
        <f>IF(mmSubProd1Seg3AttachSwitch="yes",5%,0)</f>
        <v>0</v>
      </c>
      <c r="I208" s="302" t="s">
        <v>799</v>
      </c>
      <c r="J208" s="337"/>
      <c r="K208" s="337"/>
      <c r="L208" s="337"/>
      <c r="M208" s="337"/>
      <c r="N208" s="337"/>
      <c r="O208" s="337"/>
      <c r="P208" s="337"/>
      <c r="Q208" s="337"/>
      <c r="R208" s="337"/>
      <c r="S208" s="337"/>
      <c r="T208" s="337"/>
      <c r="U208" s="337"/>
      <c r="V208" s="337"/>
      <c r="W208" s="337"/>
    </row>
    <row r="209" spans="1:23" s="301" customFormat="1" ht="12.9" hidden="1" customHeight="1">
      <c r="A209" s="296" t="b">
        <f t="shared" si="8"/>
        <v>1</v>
      </c>
      <c r="B209" s="285"/>
      <c r="C209" s="285" t="s">
        <v>766</v>
      </c>
      <c r="D209" s="285"/>
      <c r="E209" s="335">
        <f>E205*E208*IF(mmSubProd1Seg3AttachSwitch="yes",1,0)</f>
        <v>0</v>
      </c>
      <c r="F209" s="335">
        <f>F205*F208*IF(mmSubProd1Seg3AttachSwitch="yes",1,0)</f>
        <v>0</v>
      </c>
      <c r="G209" s="335">
        <f>G205*G208*IF(mmSubProd1Seg3AttachSwitch="yes",1,0)</f>
        <v>0</v>
      </c>
      <c r="H209" s="335">
        <f>H205*H208*IF(mmSubProd1Seg3AttachSwitch="yes",1,0)</f>
        <v>0</v>
      </c>
      <c r="I209" s="302"/>
      <c r="J209" s="337"/>
      <c r="K209" s="337"/>
      <c r="L209" s="337"/>
      <c r="M209" s="337"/>
      <c r="N209" s="337"/>
      <c r="O209" s="337"/>
      <c r="P209" s="337"/>
      <c r="Q209" s="337"/>
      <c r="R209" s="337"/>
      <c r="S209" s="337"/>
      <c r="T209" s="337"/>
      <c r="U209" s="337"/>
      <c r="V209" s="337"/>
      <c r="W209" s="337"/>
    </row>
    <row r="210" spans="1:23" s="301" customFormat="1" ht="12.9" hidden="1" customHeight="1">
      <c r="A210" s="296" t="b">
        <f t="shared" si="8"/>
        <v>1</v>
      </c>
      <c r="B210" s="285"/>
      <c r="C210" s="285" t="s">
        <v>798</v>
      </c>
      <c r="D210" s="285"/>
      <c r="E210" s="335">
        <f>E202-E209</f>
        <v>1159087.9999999991</v>
      </c>
      <c r="F210" s="335">
        <f>F202-F209</f>
        <v>1299250.4000000013</v>
      </c>
      <c r="G210" s="335">
        <f>G202-G209</f>
        <v>5020909.6000000024</v>
      </c>
      <c r="H210" s="335">
        <f>H202-H209</f>
        <v>2278875.200000002</v>
      </c>
      <c r="I210" s="302" t="s">
        <v>1401</v>
      </c>
      <c r="J210" s="337"/>
      <c r="K210" s="337"/>
      <c r="L210" s="337"/>
      <c r="M210" s="337"/>
      <c r="N210" s="337"/>
      <c r="O210" s="337"/>
      <c r="P210" s="337"/>
      <c r="Q210" s="337"/>
      <c r="R210" s="337"/>
      <c r="S210" s="337"/>
      <c r="T210" s="337"/>
      <c r="U210" s="337"/>
      <c r="V210" s="337"/>
      <c r="W210" s="337"/>
    </row>
    <row r="211" spans="1:23" s="301" customFormat="1" ht="12.9" hidden="1" customHeight="1">
      <c r="A211" s="296" t="b">
        <f t="shared" si="8"/>
        <v>1</v>
      </c>
      <c r="B211" s="285"/>
      <c r="C211" s="285"/>
      <c r="D211" s="285"/>
      <c r="E211" s="302"/>
      <c r="F211" s="302"/>
      <c r="G211" s="302"/>
      <c r="H211" s="302"/>
      <c r="I211" s="302"/>
      <c r="J211" s="337"/>
      <c r="K211" s="337"/>
      <c r="L211" s="337"/>
      <c r="M211" s="337"/>
      <c r="N211" s="337"/>
      <c r="O211" s="337"/>
      <c r="P211" s="337"/>
      <c r="Q211" s="337"/>
      <c r="R211" s="337"/>
      <c r="S211" s="337"/>
      <c r="T211" s="337"/>
      <c r="U211" s="337"/>
      <c r="V211" s="337"/>
      <c r="W211" s="337"/>
    </row>
    <row r="212" spans="1:23" s="301" customFormat="1" ht="12.9" customHeight="1">
      <c r="A212" s="285"/>
      <c r="B212" s="285"/>
      <c r="C212" s="285"/>
      <c r="D212" s="285"/>
      <c r="E212" s="287" t="s">
        <v>765</v>
      </c>
      <c r="F212" s="287" t="s">
        <v>764</v>
      </c>
      <c r="G212" s="287" t="s">
        <v>763</v>
      </c>
      <c r="H212" s="287" t="s">
        <v>762</v>
      </c>
      <c r="I212" s="302"/>
      <c r="J212" s="337"/>
      <c r="K212" s="337"/>
      <c r="L212" s="337"/>
      <c r="M212" s="337"/>
      <c r="N212" s="337"/>
      <c r="O212" s="337"/>
      <c r="P212" s="337"/>
      <c r="Q212" s="337"/>
      <c r="R212" s="337"/>
      <c r="S212" s="337"/>
      <c r="T212" s="337"/>
      <c r="U212" s="337"/>
      <c r="V212" s="337"/>
      <c r="W212" s="337"/>
    </row>
    <row r="213" spans="1:23" s="285" customFormat="1">
      <c r="B213" s="334" t="s">
        <v>797</v>
      </c>
      <c r="C213" s="289" t="s">
        <v>796</v>
      </c>
      <c r="D213" s="291"/>
      <c r="E213" s="333">
        <f>E210*mmSubTeamsinMarket</f>
        <v>12749967.999999989</v>
      </c>
      <c r="F213" s="333">
        <f>F210*mmSubTeamsinMarket</f>
        <v>14291754.400000013</v>
      </c>
      <c r="G213" s="333">
        <f>G210*mmSubTeamsinMarket</f>
        <v>55230005.600000024</v>
      </c>
      <c r="H213" s="333">
        <f>H210*mmSubTeamsinMarket</f>
        <v>25067627.200000022</v>
      </c>
      <c r="I213" s="302"/>
      <c r="J213" s="337"/>
      <c r="K213" s="337"/>
      <c r="L213" s="337"/>
      <c r="M213" s="337"/>
      <c r="N213" s="337"/>
      <c r="O213" s="337"/>
      <c r="P213" s="337"/>
      <c r="Q213" s="337"/>
      <c r="R213" s="337"/>
      <c r="S213" s="337"/>
      <c r="T213" s="337"/>
      <c r="U213" s="337"/>
      <c r="V213" s="337"/>
      <c r="W213" s="337"/>
    </row>
    <row r="214" spans="1:23" s="285" customFormat="1">
      <c r="E214" s="300"/>
      <c r="F214" s="300"/>
      <c r="G214" s="300"/>
      <c r="H214" s="300"/>
      <c r="J214" s="300"/>
      <c r="K214" s="300"/>
      <c r="L214" s="300"/>
      <c r="M214" s="300"/>
    </row>
    <row r="215" spans="1:23" s="293" customFormat="1">
      <c r="A215" s="295"/>
      <c r="B215" s="295" t="str">
        <f>nmProd2Seg1&amp;" Growth and Balancing Inputs"</f>
        <v>Intelligent Cloud Enterprise Growth and Balancing Inputs</v>
      </c>
      <c r="E215" s="294"/>
      <c r="F215" s="294"/>
      <c r="G215" s="294"/>
      <c r="H215" s="294"/>
      <c r="I215" s="294"/>
      <c r="J215" s="294"/>
      <c r="K215" s="294"/>
      <c r="L215" s="294"/>
      <c r="M215" s="294"/>
      <c r="N215" s="294"/>
      <c r="O215" s="294"/>
    </row>
    <row r="216" spans="1:23" s="284" customFormat="1"/>
    <row r="217" spans="1:23" s="284" customFormat="1">
      <c r="B217" s="284" t="s">
        <v>849</v>
      </c>
      <c r="C217" s="365" t="s">
        <v>852</v>
      </c>
      <c r="D217" s="284" t="s">
        <v>1402</v>
      </c>
    </row>
    <row r="218" spans="1:23" s="285" customFormat="1" ht="4.5" customHeight="1">
      <c r="A218" s="286"/>
      <c r="B218" s="286"/>
      <c r="C218" s="292"/>
      <c r="E218" s="290"/>
      <c r="F218" s="290"/>
      <c r="G218" s="290"/>
      <c r="H218" s="290"/>
      <c r="I218" s="290"/>
      <c r="J218" s="290"/>
      <c r="K218" s="290"/>
      <c r="L218" s="290"/>
      <c r="M218" s="290"/>
      <c r="N218" s="290"/>
      <c r="O218" s="290"/>
      <c r="P218" s="287"/>
      <c r="Q218" s="287"/>
      <c r="R218" s="287"/>
      <c r="S218" s="287"/>
      <c r="T218" s="287"/>
      <c r="U218" s="286"/>
      <c r="V218" s="286"/>
    </row>
    <row r="219" spans="1:23" s="284" customFormat="1">
      <c r="B219" s="284" t="s">
        <v>771</v>
      </c>
      <c r="C219" s="365" t="s">
        <v>848</v>
      </c>
      <c r="D219" s="284" t="s">
        <v>1403</v>
      </c>
    </row>
    <row r="220" spans="1:23" s="284" customFormat="1"/>
    <row r="221" spans="1:23" s="285" customFormat="1">
      <c r="A221" s="296" t="b">
        <f>IF(mmSubProd2Seg1FinModel="Other",TRUE,FALSE)</f>
        <v>0</v>
      </c>
    </row>
    <row r="222" spans="1:23" s="285" customFormat="1">
      <c r="A222" s="296" t="b">
        <f>IF(mmSubProd2Seg1FinModel="Other",TRUE,FALSE)</f>
        <v>0</v>
      </c>
      <c r="B222" s="364" t="s">
        <v>847</v>
      </c>
    </row>
    <row r="223" spans="1:23" s="285" customFormat="1" ht="4.5" customHeight="1">
      <c r="A223" s="296" t="b">
        <f>IF(mmSubProd2Seg1FinModel="Other",TRUE,FALSE)</f>
        <v>0</v>
      </c>
      <c r="B223" s="286"/>
      <c r="C223" s="292"/>
      <c r="E223" s="290"/>
      <c r="F223" s="290"/>
      <c r="G223" s="290"/>
      <c r="H223" s="290"/>
      <c r="I223" s="290"/>
      <c r="J223" s="290"/>
      <c r="K223" s="290"/>
      <c r="L223" s="290"/>
      <c r="M223" s="290"/>
      <c r="N223" s="290"/>
      <c r="O223" s="290"/>
      <c r="P223" s="287"/>
      <c r="Q223" s="287"/>
      <c r="R223" s="287"/>
      <c r="S223" s="287"/>
      <c r="T223" s="287"/>
      <c r="U223" s="286"/>
      <c r="V223" s="286"/>
    </row>
    <row r="224" spans="1:23" s="285" customFormat="1">
      <c r="A224" s="296" t="b">
        <f>IF(mmSubProd2Seg1FinModel="Other",TRUE,FALSE)</f>
        <v>0</v>
      </c>
      <c r="B224" s="334" t="s">
        <v>805</v>
      </c>
      <c r="C224" s="363" t="s">
        <v>846</v>
      </c>
      <c r="D224" s="361"/>
      <c r="E224" s="361"/>
      <c r="F224" s="362" t="s">
        <v>845</v>
      </c>
      <c r="G224" s="361"/>
      <c r="H224" s="360"/>
      <c r="I224" s="337"/>
      <c r="J224" s="337"/>
      <c r="K224" s="337"/>
      <c r="L224" s="337"/>
      <c r="M224" s="337"/>
      <c r="N224" s="337"/>
      <c r="O224" s="337"/>
      <c r="P224" s="337"/>
      <c r="Q224" s="337"/>
      <c r="R224" s="337"/>
    </row>
    <row r="225" spans="1:23" s="285" customFormat="1">
      <c r="A225" s="296" t="b">
        <f>IF(OR(mmSubProd2Seg1FinModel="SW - Deferral",mmSubProd2Seg1FinModel="Insurance"),FALSE,TRUE)</f>
        <v>0</v>
      </c>
      <c r="C225" s="357" t="s">
        <v>844</v>
      </c>
      <c r="D225" s="315"/>
      <c r="E225" s="358">
        <v>2</v>
      </c>
      <c r="F225" s="356" t="str">
        <f>IF(mmSubProd2Seg1FinModel="Sw - Deferral","**From FinDefContractLength","")</f>
        <v>**From FinDefContractLength</v>
      </c>
      <c r="G225" s="315"/>
      <c r="H225" s="355"/>
      <c r="I225" s="337"/>
      <c r="J225" s="337"/>
      <c r="K225" s="337"/>
      <c r="L225" s="337"/>
      <c r="M225" s="337"/>
      <c r="N225" s="337"/>
      <c r="O225" s="337"/>
      <c r="P225" s="337"/>
      <c r="Q225" s="337"/>
      <c r="R225" s="337"/>
      <c r="S225" s="346"/>
    </row>
    <row r="226" spans="1:23" s="285" customFormat="1">
      <c r="A226" s="296" t="b">
        <f>IF(mmSubProd2Seg1FinModel="SW - Deferral",FALSE,TRUE)</f>
        <v>0</v>
      </c>
      <c r="C226" s="357" t="s">
        <v>843</v>
      </c>
      <c r="D226" s="315"/>
      <c r="E226" s="359">
        <v>0.5</v>
      </c>
      <c r="F226" s="356"/>
      <c r="G226" s="315"/>
      <c r="H226" s="355"/>
      <c r="I226" s="337"/>
      <c r="J226" s="337"/>
      <c r="K226" s="337"/>
      <c r="L226" s="337"/>
      <c r="M226" s="337"/>
      <c r="N226" s="337"/>
      <c r="O226" s="337"/>
      <c r="P226" s="337"/>
      <c r="Q226" s="337"/>
      <c r="R226" s="337"/>
      <c r="S226" s="346"/>
    </row>
    <row r="227" spans="1:23" s="285" customFormat="1" hidden="1">
      <c r="A227" s="296" t="b">
        <f>IF(mmSubProd2Seg1FinModel="SW - Recurring Revenue",FALSE,TRUE)</f>
        <v>1</v>
      </c>
      <c r="C227" s="357" t="s">
        <v>842</v>
      </c>
      <c r="D227" s="315"/>
      <c r="E227" s="358">
        <v>4</v>
      </c>
      <c r="F227" s="356" t="s">
        <v>841</v>
      </c>
      <c r="G227" s="315"/>
      <c r="H227" s="355"/>
      <c r="I227" s="337"/>
      <c r="J227" s="337"/>
      <c r="K227" s="337"/>
      <c r="L227" s="337"/>
      <c r="M227" s="337"/>
      <c r="N227" s="337"/>
      <c r="O227" s="337"/>
      <c r="P227" s="337"/>
      <c r="Q227" s="337"/>
      <c r="R227" s="337"/>
      <c r="S227" s="346"/>
    </row>
    <row r="228" spans="1:23" s="285" customFormat="1" hidden="1">
      <c r="A228" s="296" t="b">
        <f>IF(mmSubProd2Seg1FinModel="SW - Recurring Revenue",FALSE,TRUE)</f>
        <v>1</v>
      </c>
      <c r="C228" s="357" t="s">
        <v>840</v>
      </c>
      <c r="D228" s="315"/>
      <c r="E228" s="415">
        <v>0.375</v>
      </c>
      <c r="F228" s="356"/>
      <c r="G228" s="315"/>
      <c r="H228" s="355"/>
      <c r="I228" s="337"/>
      <c r="J228" s="337"/>
      <c r="K228" s="337"/>
      <c r="L228" s="337"/>
      <c r="M228" s="337"/>
      <c r="N228" s="337"/>
      <c r="O228" s="337"/>
      <c r="P228" s="337"/>
      <c r="Q228" s="337"/>
      <c r="R228" s="337"/>
      <c r="S228" s="346"/>
    </row>
    <row r="229" spans="1:23" s="285" customFormat="1">
      <c r="A229" s="296" t="b">
        <f>IF(mmSubProd2Seg1FinModel="SW - Deferral",FALSE,TRUE)</f>
        <v>0</v>
      </c>
      <c r="C229" s="357" t="s">
        <v>839</v>
      </c>
      <c r="D229" s="315"/>
      <c r="E229" s="359">
        <v>0.5</v>
      </c>
      <c r="F229" s="356"/>
      <c r="G229" s="315"/>
      <c r="H229" s="355"/>
      <c r="I229" s="337"/>
      <c r="J229" s="337"/>
      <c r="K229" s="337"/>
      <c r="L229" s="337"/>
      <c r="M229" s="337"/>
      <c r="N229" s="337"/>
      <c r="O229" s="337"/>
      <c r="P229" s="337"/>
      <c r="Q229" s="337"/>
      <c r="R229" s="337"/>
      <c r="S229" s="346"/>
    </row>
    <row r="230" spans="1:23" s="285" customFormat="1">
      <c r="A230" s="296" t="b">
        <f>IF(mmSubProd2Seg1FinModel="SW - Deferral",FALSE,TRUE)</f>
        <v>0</v>
      </c>
      <c r="C230" s="357" t="s">
        <v>838</v>
      </c>
      <c r="D230" s="315"/>
      <c r="E230" s="358">
        <f>Obal!$Q228</f>
        <v>49595130</v>
      </c>
      <c r="F230" s="356" t="s">
        <v>837</v>
      </c>
      <c r="G230" s="315"/>
      <c r="H230" s="355"/>
      <c r="I230" s="337"/>
      <c r="J230" s="337"/>
      <c r="K230" s="337"/>
      <c r="L230" s="337"/>
      <c r="M230" s="337"/>
      <c r="N230" s="337"/>
      <c r="O230" s="337"/>
      <c r="P230" s="337"/>
      <c r="Q230" s="337"/>
      <c r="R230" s="337"/>
      <c r="S230" s="346"/>
    </row>
    <row r="231" spans="1:23" s="285" customFormat="1" hidden="1">
      <c r="A231" s="296" t="b">
        <f>IF(mmSubProd2Seg1FinModel="SW - Recurring Revenue",FALSE,TRUE)</f>
        <v>1</v>
      </c>
      <c r="C231" s="357" t="s">
        <v>836</v>
      </c>
      <c r="D231" s="315"/>
      <c r="E231" s="358">
        <v>9000000</v>
      </c>
      <c r="F231" s="356" t="s">
        <v>835</v>
      </c>
      <c r="G231" s="315"/>
      <c r="H231" s="355"/>
      <c r="I231" s="337"/>
      <c r="J231" s="337"/>
      <c r="K231" s="337"/>
      <c r="L231" s="337"/>
      <c r="M231" s="337"/>
      <c r="N231" s="337"/>
      <c r="O231" s="337"/>
      <c r="P231" s="337"/>
      <c r="Q231" s="337"/>
      <c r="R231" s="337"/>
      <c r="S231" s="346"/>
    </row>
    <row r="232" spans="1:23" s="285" customFormat="1">
      <c r="C232" s="357" t="s">
        <v>188</v>
      </c>
      <c r="D232" s="315"/>
      <c r="E232" s="410">
        <v>50</v>
      </c>
      <c r="F232" s="356" t="s">
        <v>834</v>
      </c>
      <c r="G232" s="315"/>
      <c r="H232" s="355"/>
      <c r="I232" s="337"/>
      <c r="J232" s="337"/>
      <c r="K232" s="337"/>
      <c r="L232" s="337"/>
      <c r="M232" s="337"/>
      <c r="N232" s="337"/>
      <c r="O232" s="337"/>
      <c r="P232" s="337"/>
      <c r="Q232" s="337"/>
      <c r="R232" s="337"/>
    </row>
    <row r="233" spans="1:23" s="337" customFormat="1">
      <c r="A233" s="285"/>
      <c r="B233" s="339"/>
      <c r="C233" s="354" t="s">
        <v>833</v>
      </c>
      <c r="D233" s="351"/>
      <c r="E233" s="353">
        <f>Obal!$Q$160</f>
        <v>1755000</v>
      </c>
      <c r="F233" s="352" t="s">
        <v>832</v>
      </c>
      <c r="G233" s="351"/>
      <c r="H233" s="350"/>
    </row>
    <row r="234" spans="1:23" s="337" customFormat="1">
      <c r="A234" s="285"/>
      <c r="E234" s="347"/>
    </row>
    <row r="235" spans="1:23" s="285" customFormat="1">
      <c r="A235" s="296" t="b">
        <f>IF(OR(mmSubProd2Seg1FinModel="SW - Deferral",mmSubProd2Seg1FinModel="Insurance"),FALSE,TRUE)</f>
        <v>0</v>
      </c>
      <c r="B235" s="334" t="s">
        <v>805</v>
      </c>
      <c r="C235" s="298" t="s">
        <v>831</v>
      </c>
      <c r="E235" s="287" t="s">
        <v>765</v>
      </c>
      <c r="F235" s="287" t="s">
        <v>764</v>
      </c>
      <c r="G235" s="287" t="s">
        <v>763</v>
      </c>
      <c r="H235" s="287" t="s">
        <v>762</v>
      </c>
      <c r="J235" s="337"/>
      <c r="K235" s="337"/>
      <c r="L235" s="337"/>
      <c r="M235" s="337"/>
      <c r="N235" s="337"/>
      <c r="O235" s="337"/>
      <c r="P235" s="337"/>
      <c r="Q235" s="337"/>
      <c r="R235" s="337"/>
      <c r="S235" s="337"/>
      <c r="T235" s="337"/>
      <c r="U235" s="337"/>
      <c r="V235" s="337"/>
      <c r="W235" s="337"/>
    </row>
    <row r="236" spans="1:23" s="285" customFormat="1">
      <c r="A236" s="296" t="b">
        <f>IF(OR(mmSubProd2Seg1FinModel="SW - Deferral",mmSubProd2Seg1FinModel="Insurance"),FALSE,TRUE)</f>
        <v>0</v>
      </c>
      <c r="C236" s="285" t="s">
        <v>821</v>
      </c>
      <c r="F236" s="325">
        <f>INDEX(dataProd2Seg1CloudRevGrowth,2)</f>
        <v>0.3</v>
      </c>
      <c r="G236" s="325">
        <f>INDEX(dataProd2Seg1CloudRevGrowth,3)</f>
        <v>0.15</v>
      </c>
      <c r="H236" s="325">
        <f>INDEX(dataProd2Seg1CloudRevGrowth,4)</f>
        <v>0.25</v>
      </c>
      <c r="J236" s="337"/>
      <c r="K236" s="337"/>
      <c r="L236" s="337"/>
      <c r="M236" s="337"/>
      <c r="N236" s="337"/>
      <c r="O236" s="337"/>
      <c r="P236" s="337"/>
      <c r="Q236" s="337"/>
      <c r="R236" s="337"/>
      <c r="S236" s="337"/>
      <c r="T236" s="337"/>
      <c r="U236" s="337"/>
      <c r="V236" s="337"/>
      <c r="W236" s="337"/>
    </row>
    <row r="237" spans="1:23" s="285" customFormat="1">
      <c r="A237" s="296" t="b">
        <f>IF(OR(mmSubProd2Seg1FinModel="SW - Deferral",mmSubProd2Seg1FinModel="Insurance"),FALSE,TRUE)</f>
        <v>0</v>
      </c>
      <c r="C237" s="285" t="s">
        <v>830</v>
      </c>
      <c r="E237" s="349">
        <f>INDEX(dataProd2Seg1CloudRev,1)</f>
        <v>107815500</v>
      </c>
      <c r="F237" s="335">
        <f>E237*(1+F236)</f>
        <v>140160150</v>
      </c>
      <c r="G237" s="335">
        <f>F237*(1+G236)</f>
        <v>161184172.5</v>
      </c>
      <c r="H237" s="335">
        <f>G237*(1+H236)</f>
        <v>201480215.625</v>
      </c>
      <c r="I237" s="285" t="s">
        <v>1404</v>
      </c>
      <c r="J237" s="337"/>
      <c r="K237" s="337"/>
      <c r="L237" s="337"/>
      <c r="M237" s="337"/>
      <c r="N237" s="337"/>
      <c r="O237" s="337"/>
      <c r="P237" s="337"/>
      <c r="Q237" s="337"/>
      <c r="R237" s="337"/>
      <c r="S237" s="337"/>
      <c r="T237" s="337"/>
      <c r="U237" s="337"/>
      <c r="V237" s="337"/>
      <c r="W237" s="337"/>
    </row>
    <row r="238" spans="1:23" s="337" customFormat="1">
      <c r="A238" s="296" t="b">
        <f t="shared" ref="A238:A249" si="9">IF(mmSubProd2Seg1FinModel="SW - Deferral",FALSE,TRUE)</f>
        <v>0</v>
      </c>
      <c r="E238" s="348"/>
    </row>
    <row r="239" spans="1:23" s="285" customFormat="1">
      <c r="A239" s="296" t="b">
        <f t="shared" si="9"/>
        <v>0</v>
      </c>
      <c r="B239" s="334" t="s">
        <v>805</v>
      </c>
      <c r="C239" s="298" t="s">
        <v>829</v>
      </c>
      <c r="E239" s="287" t="s">
        <v>765</v>
      </c>
      <c r="F239" s="287" t="s">
        <v>764</v>
      </c>
      <c r="G239" s="287" t="s">
        <v>763</v>
      </c>
      <c r="H239" s="287" t="s">
        <v>762</v>
      </c>
      <c r="J239" s="337"/>
      <c r="K239" s="337"/>
      <c r="L239" s="337"/>
      <c r="M239" s="337"/>
      <c r="N239" s="337"/>
      <c r="O239" s="337"/>
      <c r="P239" s="337"/>
      <c r="Q239" s="337"/>
      <c r="R239" s="337"/>
      <c r="S239" s="337"/>
      <c r="T239" s="337"/>
      <c r="U239" s="337"/>
      <c r="V239" s="337"/>
      <c r="W239" s="337"/>
    </row>
    <row r="240" spans="1:23" s="285" customFormat="1">
      <c r="A240" s="296" t="b">
        <f t="shared" si="9"/>
        <v>0</v>
      </c>
      <c r="C240" s="285" t="s">
        <v>214</v>
      </c>
      <c r="E240" s="335">
        <f>E230</f>
        <v>49595130</v>
      </c>
      <c r="F240" s="335">
        <f>E244</f>
        <v>58220370</v>
      </c>
      <c r="G240" s="335">
        <f>F244</f>
        <v>81939780</v>
      </c>
      <c r="H240" s="335">
        <f>G244</f>
        <v>79244392.5</v>
      </c>
      <c r="J240" s="337"/>
      <c r="K240" s="337"/>
      <c r="L240" s="337"/>
      <c r="M240" s="337"/>
      <c r="N240" s="337"/>
      <c r="O240" s="337"/>
      <c r="P240" s="337"/>
      <c r="Q240" s="337"/>
      <c r="R240" s="337"/>
      <c r="S240" s="337"/>
      <c r="T240" s="337"/>
      <c r="U240" s="337"/>
      <c r="V240" s="337"/>
      <c r="W240" s="337"/>
    </row>
    <row r="241" spans="1:23" s="285" customFormat="1">
      <c r="A241" s="296" t="b">
        <f t="shared" si="9"/>
        <v>0</v>
      </c>
      <c r="C241" s="285" t="s">
        <v>828</v>
      </c>
      <c r="E241" s="335">
        <f>E240*IF($E$225=1,0,IF($E$225=2,1,IF($E$225=3,0.5)))*-1</f>
        <v>-49595130</v>
      </c>
      <c r="F241" s="335">
        <f>F240*IF($E$225=1,0,IF($E$225=2,1,IF($E$225=3,0.5)))*-1</f>
        <v>-58220370</v>
      </c>
      <c r="G241" s="335">
        <f>G240*IF($E$225=1,0,IF($E$225=2,1,IF($E$225=3,0.5)))*-1</f>
        <v>-81939780</v>
      </c>
      <c r="H241" s="335">
        <f>H240*IF($E$225=1,0,IF($E$225=2,1,IF($E$225=3,0.5)))*-1</f>
        <v>-79244392.5</v>
      </c>
      <c r="J241" s="337"/>
      <c r="K241" s="337"/>
      <c r="L241" s="337"/>
      <c r="M241" s="337"/>
      <c r="N241" s="337"/>
      <c r="O241" s="337"/>
      <c r="P241" s="337"/>
      <c r="Q241" s="337"/>
      <c r="R241" s="337"/>
      <c r="S241" s="337"/>
      <c r="T241" s="337"/>
      <c r="U241" s="337"/>
      <c r="V241" s="337"/>
      <c r="W241" s="337"/>
    </row>
    <row r="242" spans="1:23" s="285" customFormat="1">
      <c r="A242" s="296" t="b">
        <f t="shared" si="9"/>
        <v>0</v>
      </c>
      <c r="C242" s="285" t="s">
        <v>827</v>
      </c>
      <c r="E242" s="335">
        <f>E249*$E$229</f>
        <v>58220370</v>
      </c>
      <c r="F242" s="335">
        <f>F249*$E$229</f>
        <v>81939780</v>
      </c>
      <c r="G242" s="335">
        <f>G249*$E$229</f>
        <v>79244392.5</v>
      </c>
      <c r="H242" s="335">
        <f>H249*$E$229</f>
        <v>122235823.125</v>
      </c>
      <c r="J242" s="337"/>
      <c r="K242" s="337"/>
      <c r="L242" s="337"/>
      <c r="M242" s="337"/>
      <c r="N242" s="337"/>
      <c r="O242" s="337"/>
      <c r="P242" s="337"/>
      <c r="Q242" s="337"/>
      <c r="R242" s="337"/>
      <c r="S242" s="337"/>
      <c r="T242" s="337"/>
      <c r="U242" s="337"/>
      <c r="V242" s="337"/>
      <c r="W242" s="337"/>
    </row>
    <row r="243" spans="1:23" s="309" customFormat="1" ht="2.1" customHeight="1">
      <c r="A243" s="296" t="b">
        <f t="shared" si="9"/>
        <v>0</v>
      </c>
      <c r="B243" s="285"/>
      <c r="C243" s="310"/>
      <c r="D243" s="312"/>
      <c r="E243" s="312"/>
      <c r="F243" s="311"/>
      <c r="G243" s="311"/>
      <c r="H243" s="311"/>
      <c r="J243" s="337"/>
      <c r="K243" s="337"/>
      <c r="L243" s="337"/>
      <c r="M243" s="337"/>
      <c r="N243" s="337"/>
      <c r="O243" s="337"/>
      <c r="P243" s="337"/>
      <c r="Q243" s="337"/>
      <c r="R243" s="337"/>
      <c r="S243" s="337"/>
      <c r="T243" s="337"/>
      <c r="U243" s="337"/>
      <c r="V243" s="337"/>
      <c r="W243" s="337"/>
    </row>
    <row r="244" spans="1:23" s="285" customFormat="1">
      <c r="A244" s="296" t="b">
        <f t="shared" si="9"/>
        <v>0</v>
      </c>
      <c r="C244" s="285" t="s">
        <v>215</v>
      </c>
      <c r="E244" s="335">
        <f>SUM(E240:E242)</f>
        <v>58220370</v>
      </c>
      <c r="F244" s="335">
        <f>SUM(F240:F242)</f>
        <v>81939780</v>
      </c>
      <c r="G244" s="335">
        <f>SUM(G240:G242)</f>
        <v>79244392.5</v>
      </c>
      <c r="H244" s="335">
        <f>SUM(H240:H242)</f>
        <v>122235823.125</v>
      </c>
      <c r="J244" s="337"/>
      <c r="K244" s="337"/>
      <c r="L244" s="337"/>
      <c r="M244" s="337"/>
      <c r="N244" s="337"/>
      <c r="O244" s="337"/>
      <c r="P244" s="337"/>
      <c r="Q244" s="337"/>
      <c r="R244" s="337"/>
      <c r="S244" s="337"/>
      <c r="T244" s="337"/>
      <c r="U244" s="337"/>
      <c r="V244" s="337"/>
      <c r="W244" s="337"/>
    </row>
    <row r="245" spans="1:23" s="337" customFormat="1">
      <c r="A245" s="296" t="b">
        <f t="shared" si="9"/>
        <v>0</v>
      </c>
      <c r="E245" s="347"/>
    </row>
    <row r="246" spans="1:23" s="285" customFormat="1">
      <c r="A246" s="296" t="b">
        <f t="shared" si="9"/>
        <v>0</v>
      </c>
      <c r="B246" s="334" t="s">
        <v>805</v>
      </c>
      <c r="C246" s="298" t="s">
        <v>826</v>
      </c>
      <c r="E246" s="287" t="s">
        <v>765</v>
      </c>
      <c r="F246" s="287" t="s">
        <v>764</v>
      </c>
      <c r="G246" s="287" t="s">
        <v>763</v>
      </c>
      <c r="H246" s="287" t="s">
        <v>762</v>
      </c>
      <c r="J246" s="337"/>
      <c r="K246" s="337"/>
      <c r="L246" s="337"/>
      <c r="M246" s="337"/>
      <c r="N246" s="337"/>
      <c r="O246" s="337"/>
      <c r="P246" s="337"/>
      <c r="Q246" s="337"/>
      <c r="R246" s="337"/>
      <c r="S246" s="337"/>
      <c r="T246" s="337"/>
      <c r="U246" s="337"/>
      <c r="V246" s="337"/>
      <c r="W246" s="337"/>
    </row>
    <row r="247" spans="1:23" s="285" customFormat="1">
      <c r="A247" s="296" t="b">
        <f t="shared" si="9"/>
        <v>0</v>
      </c>
      <c r="C247" s="285" t="s">
        <v>825</v>
      </c>
      <c r="E247" s="335">
        <f>-1*E241</f>
        <v>49595130</v>
      </c>
      <c r="F247" s="335">
        <f>-1*F241</f>
        <v>58220370</v>
      </c>
      <c r="G247" s="335">
        <f>-1*G241</f>
        <v>81939780</v>
      </c>
      <c r="H247" s="335">
        <f>-1*H241</f>
        <v>79244392.5</v>
      </c>
      <c r="J247" s="337"/>
      <c r="K247" s="337"/>
      <c r="L247" s="337"/>
      <c r="M247" s="337"/>
      <c r="N247" s="337"/>
      <c r="O247" s="337"/>
      <c r="P247" s="337"/>
      <c r="Q247" s="337"/>
      <c r="R247" s="337"/>
      <c r="S247" s="337"/>
      <c r="T247" s="337"/>
      <c r="U247" s="337"/>
      <c r="V247" s="337"/>
      <c r="W247" s="337"/>
    </row>
    <row r="248" spans="1:23" s="285" customFormat="1">
      <c r="A248" s="296" t="b">
        <f t="shared" si="9"/>
        <v>0</v>
      </c>
      <c r="C248" s="285" t="s">
        <v>824</v>
      </c>
      <c r="E248" s="335">
        <f>E237-E247</f>
        <v>58220370</v>
      </c>
      <c r="F248" s="335">
        <f>F237-F247</f>
        <v>81939780</v>
      </c>
      <c r="G248" s="335">
        <f>G237-G247</f>
        <v>79244392.5</v>
      </c>
      <c r="H248" s="335">
        <f>H237-H247</f>
        <v>122235823.125</v>
      </c>
      <c r="J248" s="337"/>
      <c r="K248" s="337"/>
      <c r="L248" s="337"/>
      <c r="M248" s="337"/>
      <c r="N248" s="337"/>
      <c r="O248" s="337"/>
      <c r="P248" s="337"/>
      <c r="Q248" s="337"/>
      <c r="R248" s="337"/>
      <c r="S248" s="337"/>
      <c r="T248" s="337"/>
      <c r="U248" s="337"/>
      <c r="V248" s="337"/>
      <c r="W248" s="337"/>
    </row>
    <row r="249" spans="1:23" s="285" customFormat="1">
      <c r="A249" s="296" t="b">
        <f t="shared" si="9"/>
        <v>0</v>
      </c>
      <c r="C249" s="285" t="s">
        <v>823</v>
      </c>
      <c r="E249" s="335">
        <f>E248*$E$225</f>
        <v>116440740</v>
      </c>
      <c r="F249" s="335">
        <f>F248*$E$225</f>
        <v>163879560</v>
      </c>
      <c r="G249" s="335">
        <f>G248*$E$225</f>
        <v>158488785</v>
      </c>
      <c r="H249" s="335">
        <f>H248*$E$225</f>
        <v>244471646.25</v>
      </c>
      <c r="I249" s="285" t="s">
        <v>1405</v>
      </c>
      <c r="J249" s="337"/>
      <c r="K249" s="337"/>
      <c r="L249" s="337"/>
      <c r="M249" s="337"/>
      <c r="N249" s="337"/>
      <c r="O249" s="337"/>
      <c r="P249" s="337"/>
      <c r="Q249" s="337"/>
      <c r="R249" s="337"/>
      <c r="S249" s="337"/>
      <c r="T249" s="337"/>
      <c r="U249" s="337"/>
      <c r="V249" s="337"/>
      <c r="W249" s="337"/>
    </row>
    <row r="250" spans="1:23" s="285" customFormat="1" hidden="1">
      <c r="A250" s="296" t="b">
        <f t="shared" ref="A250:A262" si="10">IF(mmSubProd2Seg1FinModel="SW - Recurring Revenue",FALSE,TRUE)</f>
        <v>1</v>
      </c>
      <c r="C250" s="298" t="s">
        <v>822</v>
      </c>
      <c r="E250" s="345" t="s">
        <v>765</v>
      </c>
      <c r="F250" s="345" t="s">
        <v>764</v>
      </c>
      <c r="G250" s="345" t="s">
        <v>763</v>
      </c>
      <c r="H250" s="345" t="s">
        <v>762</v>
      </c>
      <c r="J250" s="337"/>
      <c r="K250" s="337"/>
      <c r="L250" s="337"/>
      <c r="M250" s="337"/>
      <c r="N250" s="337"/>
      <c r="O250" s="337"/>
      <c r="P250" s="337"/>
      <c r="Q250" s="337"/>
      <c r="R250" s="337"/>
      <c r="S250" s="337"/>
      <c r="T250" s="337"/>
      <c r="U250" s="337"/>
      <c r="V250" s="337"/>
      <c r="W250" s="337"/>
    </row>
    <row r="251" spans="1:23" s="285" customFormat="1" hidden="1">
      <c r="A251" s="296" t="b">
        <f t="shared" si="10"/>
        <v>1</v>
      </c>
      <c r="C251" s="285" t="s">
        <v>821</v>
      </c>
      <c r="E251" s="300"/>
      <c r="F251" s="344">
        <v>0.1</v>
      </c>
      <c r="G251" s="344">
        <v>0.1</v>
      </c>
      <c r="H251" s="344">
        <v>0.1</v>
      </c>
      <c r="J251" s="337"/>
      <c r="K251" s="337"/>
      <c r="L251" s="337"/>
      <c r="M251" s="337"/>
      <c r="N251" s="337"/>
      <c r="O251" s="337"/>
      <c r="P251" s="337"/>
      <c r="Q251" s="337"/>
      <c r="R251" s="337"/>
      <c r="S251" s="337"/>
      <c r="T251" s="337"/>
      <c r="U251" s="337"/>
      <c r="V251" s="337"/>
      <c r="W251" s="337"/>
    </row>
    <row r="252" spans="1:23" s="285" customFormat="1" hidden="1">
      <c r="A252" s="296" t="b">
        <f t="shared" si="10"/>
        <v>1</v>
      </c>
      <c r="C252" s="285" t="s">
        <v>820</v>
      </c>
      <c r="E252" s="343">
        <v>11000000</v>
      </c>
      <c r="F252" s="335">
        <f>E252*(1+F251)</f>
        <v>12100000.000000002</v>
      </c>
      <c r="G252" s="335">
        <f>F252*(1+G251)</f>
        <v>13310000.000000004</v>
      </c>
      <c r="H252" s="335">
        <f>G252*(1+H251)</f>
        <v>14641000.000000006</v>
      </c>
      <c r="I252" s="285" t="s">
        <v>1406</v>
      </c>
      <c r="J252" s="337"/>
      <c r="K252" s="337"/>
      <c r="L252" s="337"/>
      <c r="M252" s="337"/>
      <c r="N252" s="337"/>
      <c r="O252" s="337"/>
      <c r="P252" s="337"/>
      <c r="Q252" s="337"/>
      <c r="R252" s="337"/>
      <c r="S252" s="337"/>
      <c r="T252" s="337"/>
      <c r="U252" s="337"/>
      <c r="V252" s="337"/>
      <c r="W252" s="337"/>
    </row>
    <row r="253" spans="1:23" s="285" customFormat="1" hidden="1">
      <c r="A253" s="296" t="b">
        <f t="shared" si="10"/>
        <v>1</v>
      </c>
      <c r="J253" s="337"/>
      <c r="K253" s="337"/>
      <c r="L253" s="337"/>
      <c r="M253" s="337"/>
      <c r="N253" s="337"/>
      <c r="O253" s="337"/>
      <c r="P253" s="337"/>
      <c r="Q253" s="337"/>
      <c r="R253" s="337"/>
      <c r="S253" s="337"/>
      <c r="T253" s="337"/>
      <c r="U253" s="337"/>
      <c r="V253" s="337"/>
      <c r="W253" s="337"/>
    </row>
    <row r="254" spans="1:23" s="285" customFormat="1" hidden="1">
      <c r="A254" s="296" t="b">
        <f t="shared" si="10"/>
        <v>1</v>
      </c>
      <c r="C254" s="298" t="s">
        <v>819</v>
      </c>
      <c r="J254" s="337"/>
      <c r="K254" s="337"/>
      <c r="L254" s="337"/>
      <c r="M254" s="337"/>
      <c r="N254" s="337"/>
      <c r="O254" s="337"/>
      <c r="P254" s="337"/>
      <c r="Q254" s="337"/>
      <c r="R254" s="337"/>
      <c r="S254" s="337"/>
      <c r="T254" s="337"/>
      <c r="U254" s="337"/>
      <c r="V254" s="337"/>
      <c r="W254" s="337"/>
    </row>
    <row r="255" spans="1:23" s="285" customFormat="1" hidden="1">
      <c r="A255" s="296" t="b">
        <f t="shared" si="10"/>
        <v>1</v>
      </c>
      <c r="C255" s="285" t="s">
        <v>818</v>
      </c>
      <c r="E255" s="335">
        <f>E231</f>
        <v>9000000</v>
      </c>
      <c r="F255" s="335">
        <f>E252</f>
        <v>11000000</v>
      </c>
      <c r="G255" s="335">
        <f>F252</f>
        <v>12100000.000000002</v>
      </c>
      <c r="H255" s="335">
        <f>G252</f>
        <v>13310000.000000004</v>
      </c>
      <c r="J255" s="337"/>
      <c r="K255" s="337"/>
      <c r="L255" s="337"/>
      <c r="M255" s="337"/>
      <c r="N255" s="337"/>
      <c r="O255" s="337"/>
      <c r="P255" s="337"/>
      <c r="Q255" s="337"/>
      <c r="R255" s="337"/>
      <c r="S255" s="337"/>
      <c r="T255" s="337"/>
      <c r="U255" s="337"/>
      <c r="V255" s="337"/>
      <c r="W255" s="337"/>
    </row>
    <row r="256" spans="1:23" s="285" customFormat="1" hidden="1">
      <c r="A256" s="296" t="b">
        <f t="shared" si="10"/>
        <v>1</v>
      </c>
      <c r="C256" s="285" t="s">
        <v>817</v>
      </c>
      <c r="E256" s="335">
        <f>E252-E255</f>
        <v>2000000</v>
      </c>
      <c r="F256" s="335">
        <f>F252-F255</f>
        <v>1100000.0000000019</v>
      </c>
      <c r="G256" s="335">
        <f>G252-G255</f>
        <v>1210000.0000000019</v>
      </c>
      <c r="H256" s="335">
        <f>H252-H255</f>
        <v>1331000.0000000019</v>
      </c>
      <c r="I256" s="285" t="s">
        <v>1407</v>
      </c>
      <c r="J256" s="337"/>
      <c r="K256" s="337"/>
      <c r="L256" s="337"/>
      <c r="M256" s="337"/>
      <c r="N256" s="337"/>
      <c r="O256" s="337"/>
      <c r="P256" s="337"/>
      <c r="Q256" s="337"/>
      <c r="R256" s="337"/>
      <c r="S256" s="337"/>
      <c r="T256" s="337"/>
      <c r="U256" s="337"/>
      <c r="V256" s="337"/>
      <c r="W256" s="337"/>
    </row>
    <row r="257" spans="1:23" s="285" customFormat="1" hidden="1">
      <c r="A257" s="296" t="b">
        <f t="shared" si="10"/>
        <v>1</v>
      </c>
      <c r="J257" s="337"/>
      <c r="K257" s="337"/>
      <c r="L257" s="337"/>
      <c r="M257" s="337"/>
      <c r="N257" s="337"/>
      <c r="O257" s="337"/>
      <c r="P257" s="337"/>
      <c r="Q257" s="337"/>
      <c r="R257" s="337"/>
      <c r="S257" s="337"/>
      <c r="T257" s="337"/>
      <c r="U257" s="337"/>
      <c r="V257" s="337"/>
      <c r="W257" s="337"/>
    </row>
    <row r="258" spans="1:23" s="285" customFormat="1" hidden="1">
      <c r="A258" s="296" t="b">
        <f t="shared" si="10"/>
        <v>1</v>
      </c>
      <c r="C258" s="285" t="s">
        <v>816</v>
      </c>
      <c r="E258" s="335">
        <f>$E$231+E256*$E$228</f>
        <v>9750000</v>
      </c>
      <c r="F258" s="335">
        <f>F255+F256*$E$228</f>
        <v>11412500</v>
      </c>
      <c r="G258" s="335">
        <f>G255+G256*$E$228</f>
        <v>12553750.000000002</v>
      </c>
      <c r="H258" s="335">
        <f>H255+H256*$E$228</f>
        <v>13809125.000000004</v>
      </c>
      <c r="J258" s="337"/>
      <c r="K258" s="337"/>
      <c r="L258" s="337"/>
      <c r="M258" s="337"/>
      <c r="N258" s="337"/>
      <c r="O258" s="337"/>
      <c r="P258" s="337"/>
      <c r="Q258" s="337"/>
      <c r="R258" s="337"/>
      <c r="S258" s="337"/>
      <c r="T258" s="337"/>
      <c r="U258" s="337"/>
      <c r="V258" s="337"/>
      <c r="W258" s="337"/>
    </row>
    <row r="259" spans="1:23" s="285" customFormat="1" hidden="1">
      <c r="A259" s="296" t="b">
        <f t="shared" si="10"/>
        <v>1</v>
      </c>
      <c r="J259" s="337"/>
      <c r="K259" s="337"/>
      <c r="L259" s="337"/>
      <c r="M259" s="337"/>
      <c r="N259" s="337"/>
      <c r="O259" s="337"/>
      <c r="P259" s="337"/>
      <c r="Q259" s="337"/>
      <c r="R259" s="337"/>
      <c r="S259" s="337"/>
      <c r="T259" s="337"/>
      <c r="U259" s="337"/>
      <c r="V259" s="337"/>
      <c r="W259" s="337"/>
    </row>
    <row r="260" spans="1:23" s="285" customFormat="1" hidden="1">
      <c r="A260" s="296" t="b">
        <f t="shared" si="10"/>
        <v>1</v>
      </c>
      <c r="C260" s="285" t="s">
        <v>808</v>
      </c>
      <c r="E260" s="325">
        <v>0.8</v>
      </c>
      <c r="F260" s="325">
        <v>0.8</v>
      </c>
      <c r="G260" s="325">
        <v>0.8</v>
      </c>
      <c r="H260" s="325">
        <v>0.8</v>
      </c>
      <c r="J260" s="337"/>
      <c r="K260" s="337"/>
      <c r="L260" s="337"/>
      <c r="M260" s="337"/>
      <c r="N260" s="337"/>
      <c r="O260" s="337"/>
      <c r="P260" s="337"/>
      <c r="Q260" s="337"/>
      <c r="R260" s="337"/>
      <c r="S260" s="337"/>
      <c r="T260" s="337"/>
      <c r="U260" s="337"/>
      <c r="V260" s="337"/>
      <c r="W260" s="337"/>
    </row>
    <row r="261" spans="1:23" s="285" customFormat="1" hidden="1">
      <c r="A261" s="296" t="b">
        <f t="shared" si="10"/>
        <v>1</v>
      </c>
      <c r="C261" s="285" t="s">
        <v>815</v>
      </c>
      <c r="E261" s="335">
        <f>-1*E233*$E$232*(1-E260)</f>
        <v>-17549999.999999996</v>
      </c>
      <c r="F261" s="335">
        <f>-1*SUM(E271:E272)*$E$232*(1-F260)</f>
        <v>-23288147.999999993</v>
      </c>
      <c r="G261" s="335">
        <f>-1*SUM(F271:F272)*$E$232*(1-G260)</f>
        <v>-32775911.999999993</v>
      </c>
      <c r="H261" s="335">
        <f>-1*SUM(G271:G272)*$E$232*(1-H260)</f>
        <v>-31697756.999999993</v>
      </c>
      <c r="J261" s="337"/>
      <c r="K261" s="337"/>
      <c r="L261" s="337"/>
      <c r="M261" s="337"/>
      <c r="N261" s="337"/>
      <c r="O261" s="337"/>
      <c r="P261" s="337"/>
      <c r="Q261" s="337"/>
      <c r="R261" s="337"/>
      <c r="S261" s="337"/>
      <c r="T261" s="337"/>
      <c r="U261" s="337"/>
      <c r="V261" s="337"/>
      <c r="W261" s="337"/>
    </row>
    <row r="262" spans="1:23" s="285" customFormat="1" hidden="1">
      <c r="A262" s="296" t="b">
        <f t="shared" si="10"/>
        <v>1</v>
      </c>
      <c r="C262" s="285" t="s">
        <v>814</v>
      </c>
      <c r="E262" s="335">
        <f>E256-E261</f>
        <v>19549999.999999996</v>
      </c>
      <c r="F262" s="335">
        <f>F256-F261</f>
        <v>24388147.999999993</v>
      </c>
      <c r="G262" s="335">
        <f>G256-G261</f>
        <v>33985911.999999993</v>
      </c>
      <c r="H262" s="335">
        <f>H256-H261</f>
        <v>33028756.999999993</v>
      </c>
      <c r="J262" s="337"/>
      <c r="K262" s="337"/>
      <c r="L262" s="337"/>
      <c r="M262" s="337"/>
      <c r="N262" s="337"/>
      <c r="O262" s="337"/>
      <c r="P262" s="337"/>
      <c r="Q262" s="337"/>
      <c r="R262" s="337"/>
      <c r="S262" s="337"/>
      <c r="T262" s="337"/>
      <c r="U262" s="337"/>
      <c r="V262" s="337"/>
      <c r="W262" s="337"/>
    </row>
    <row r="263" spans="1:23" s="285" customFormat="1">
      <c r="A263" s="296" t="b">
        <f>IF(OR(mmSubProd2Seg1FinModel="SW - Deferral",mmSubProd2Seg1FinModel="Insurance"),FALSE,TRUE)</f>
        <v>0</v>
      </c>
      <c r="E263" s="300"/>
      <c r="F263" s="300"/>
      <c r="G263" s="300"/>
      <c r="H263" s="300"/>
      <c r="J263" s="337"/>
      <c r="K263" s="337"/>
      <c r="L263" s="337"/>
      <c r="M263" s="337"/>
      <c r="N263" s="337"/>
      <c r="O263" s="337"/>
      <c r="P263" s="337"/>
      <c r="Q263" s="337"/>
      <c r="R263" s="337"/>
      <c r="S263" s="337"/>
      <c r="T263" s="337"/>
      <c r="U263" s="337"/>
      <c r="V263" s="337"/>
      <c r="W263" s="337"/>
    </row>
    <row r="264" spans="1:23" s="285" customFormat="1">
      <c r="A264" s="296" t="b">
        <f>IF(OR(mmSubProd2Seg1FinModel="SW - Deferral",mmSubProd2Seg1FinModel="Insurance"),FALSE,TRUE)</f>
        <v>0</v>
      </c>
      <c r="B264" s="334" t="s">
        <v>805</v>
      </c>
      <c r="C264" s="298" t="s">
        <v>813</v>
      </c>
      <c r="E264" s="287" t="s">
        <v>765</v>
      </c>
      <c r="F264" s="287" t="s">
        <v>764</v>
      </c>
      <c r="G264" s="287" t="s">
        <v>763</v>
      </c>
      <c r="H264" s="287" t="s">
        <v>762</v>
      </c>
      <c r="J264" s="337"/>
      <c r="K264" s="337"/>
      <c r="L264" s="337"/>
      <c r="M264" s="337"/>
      <c r="N264" s="337"/>
      <c r="O264" s="337"/>
      <c r="P264" s="337"/>
      <c r="Q264" s="337"/>
      <c r="R264" s="337"/>
      <c r="S264" s="337"/>
      <c r="T264" s="337"/>
      <c r="U264" s="337"/>
      <c r="V264" s="337"/>
      <c r="W264" s="337"/>
    </row>
    <row r="265" spans="1:23" s="285" customFormat="1">
      <c r="A265" s="296" t="b">
        <f>IF(OR(mmSubProd2Seg1FinModel="SW - Deferral",mmSubProd2Seg1FinModel="Insurance"),FALSE,TRUE)</f>
        <v>0</v>
      </c>
      <c r="C265" s="285" t="s">
        <v>812</v>
      </c>
      <c r="E265" s="335">
        <f>IF(OR(mmSubProd2Seg1FinModel="SW - Deferral",mmSubProd2Seg1FinModel="Insurance"),E249/$E$232,0)</f>
        <v>2328814.7999999998</v>
      </c>
      <c r="F265" s="335">
        <f>IF(OR(mmSubProd2Seg1FinModel="SW - Deferral",mmSubProd2Seg1FinModel="Insurance"),F249/$E$232,0)</f>
        <v>3277591.2</v>
      </c>
      <c r="G265" s="335">
        <f>IF(OR(mmSubProd2Seg1FinModel="SW - Deferral",mmSubProd2Seg1FinModel="Insurance"),G249/$E$232,0)</f>
        <v>3169775.7</v>
      </c>
      <c r="H265" s="335">
        <f>IF(OR(mmSubProd2Seg1FinModel="SW - Deferral",mmSubProd2Seg1FinModel="Insurance"),H249/$E$232,0)</f>
        <v>4889432.9249999998</v>
      </c>
      <c r="J265" s="337"/>
      <c r="K265" s="337"/>
      <c r="L265" s="337"/>
      <c r="M265" s="337"/>
      <c r="N265" s="337"/>
      <c r="O265" s="337"/>
      <c r="P265" s="337"/>
      <c r="Q265" s="337"/>
      <c r="R265" s="337"/>
      <c r="S265" s="337"/>
      <c r="T265" s="337"/>
      <c r="U265" s="337"/>
      <c r="V265" s="337"/>
      <c r="W265" s="337"/>
    </row>
    <row r="266" spans="1:23" s="337" customFormat="1">
      <c r="A266" s="285"/>
      <c r="E266" s="342"/>
      <c r="F266" s="342"/>
      <c r="G266" s="342"/>
      <c r="H266" s="342"/>
    </row>
    <row r="267" spans="1:23" s="285" customFormat="1">
      <c r="B267" s="334" t="s">
        <v>805</v>
      </c>
      <c r="C267" s="298" t="s">
        <v>811</v>
      </c>
      <c r="E267" s="287" t="s">
        <v>765</v>
      </c>
      <c r="F267" s="287" t="s">
        <v>764</v>
      </c>
      <c r="G267" s="287" t="s">
        <v>763</v>
      </c>
      <c r="H267" s="287" t="s">
        <v>762</v>
      </c>
      <c r="J267" s="337"/>
      <c r="K267" s="337"/>
      <c r="L267" s="337"/>
      <c r="M267" s="337"/>
      <c r="N267" s="337"/>
      <c r="O267" s="337"/>
      <c r="P267" s="337"/>
      <c r="Q267" s="337"/>
      <c r="R267" s="337"/>
      <c r="S267" s="337"/>
      <c r="T267" s="337"/>
      <c r="U267" s="337"/>
      <c r="V267" s="337"/>
      <c r="W267" s="337"/>
    </row>
    <row r="268" spans="1:23" s="285" customFormat="1" hidden="1">
      <c r="A268" s="296" t="b">
        <f>IF(mmSubProd2Seg1FinModel="Insurance",FALSE,TRUE)</f>
        <v>1</v>
      </c>
      <c r="C268" s="285" t="s">
        <v>810</v>
      </c>
      <c r="E268" s="317">
        <v>1.4999999999999999E-2</v>
      </c>
      <c r="F268" s="317">
        <v>1.4999999999999999E-2</v>
      </c>
      <c r="G268" s="317">
        <v>1.4999999999999999E-2</v>
      </c>
      <c r="H268" s="317">
        <v>1.4999999999999999E-2</v>
      </c>
      <c r="J268" s="337"/>
      <c r="K268" s="337"/>
      <c r="L268" s="337"/>
      <c r="M268" s="337"/>
      <c r="N268" s="337"/>
      <c r="O268" s="337"/>
      <c r="P268" s="337"/>
      <c r="Q268" s="337"/>
      <c r="R268" s="337"/>
      <c r="S268" s="337"/>
      <c r="T268" s="337"/>
      <c r="U268" s="337"/>
      <c r="V268" s="337"/>
      <c r="W268" s="337"/>
    </row>
    <row r="269" spans="1:23" s="285" customFormat="1" hidden="1">
      <c r="A269" s="296" t="b">
        <f>IF(mmSubProd2Seg1FinModel="Insurance",FALSE,TRUE)</f>
        <v>1</v>
      </c>
      <c r="C269" s="285" t="s">
        <v>809</v>
      </c>
      <c r="E269" s="335">
        <f>E233*E268*(mmSubProd2Seg1FinModel="Insurance")*(-1)</f>
        <v>0</v>
      </c>
      <c r="F269" s="335">
        <f>SUM(E271,E272)*F268*(mmSubProd2Seg1FinModel="Insurance")*(-1)</f>
        <v>0</v>
      </c>
      <c r="G269" s="335">
        <f>SUM(F271,F272)*G268*(mmSubProd2Seg1FinModel="Insurance")*(-1)</f>
        <v>0</v>
      </c>
      <c r="H269" s="335">
        <f>SUM(G271,G272)*H268*(mmSubProd2Seg1FinModel="Insurance")*(-1)</f>
        <v>0</v>
      </c>
      <c r="J269" s="337"/>
      <c r="K269" s="337"/>
      <c r="L269" s="337"/>
      <c r="M269" s="337"/>
      <c r="N269" s="337"/>
      <c r="O269" s="337"/>
      <c r="P269" s="337"/>
      <c r="Q269" s="337"/>
      <c r="R269" s="337"/>
      <c r="S269" s="337"/>
      <c r="T269" s="337"/>
      <c r="U269" s="337"/>
      <c r="V269" s="337"/>
      <c r="W269" s="337"/>
    </row>
    <row r="270" spans="1:23" s="285" customFormat="1">
      <c r="A270" s="296" t="b">
        <f>IF(OR(mmSubProd2Seg1FinModel="SW - Deferral",mmSubProd2Seg1FinModel="Insurance"),FALSE,TRUE)</f>
        <v>0</v>
      </c>
      <c r="C270" s="285" t="s">
        <v>808</v>
      </c>
      <c r="E270" s="325">
        <v>0.7</v>
      </c>
      <c r="F270" s="325">
        <v>0.7</v>
      </c>
      <c r="G270" s="325">
        <v>0.7</v>
      </c>
      <c r="H270" s="325">
        <v>0.7</v>
      </c>
      <c r="I270" s="302" t="s">
        <v>807</v>
      </c>
      <c r="J270" s="337"/>
      <c r="K270" s="337"/>
      <c r="L270" s="337"/>
      <c r="M270" s="337"/>
      <c r="N270" s="337"/>
      <c r="O270" s="337"/>
      <c r="P270" s="337"/>
      <c r="Q270" s="337"/>
      <c r="R270" s="337"/>
      <c r="S270" s="337"/>
      <c r="T270" s="337"/>
      <c r="U270" s="337"/>
      <c r="V270" s="337"/>
      <c r="W270" s="337"/>
    </row>
    <row r="271" spans="1:23" s="285" customFormat="1">
      <c r="C271" s="285" t="s">
        <v>768</v>
      </c>
      <c r="E271" s="335">
        <f>E233*IF(OR(mmSubProd2Seg1FinModel="SW - Deferral",mmSubProd2Seg1FinModel="Insurance"),E270,E260)+E269</f>
        <v>1228500</v>
      </c>
      <c r="F271" s="335">
        <f>SUM(E271,E272)*IF(OR(mmSubProd2Seg1FinModel="SW - Deferral",mmSubProd2Seg1FinModel="Insurance"),F270,F260)+F269</f>
        <v>1630170.3599999999</v>
      </c>
      <c r="G271" s="335">
        <f>SUM(F271,F272)*IF(OR(mmSubProd2Seg1FinModel="SW - Deferral",mmSubProd2Seg1FinModel="Insurance"),G270,G260)+G269</f>
        <v>2294313.84</v>
      </c>
      <c r="H271" s="335">
        <f>SUM(G271,G272)*IF(OR(mmSubProd2Seg1FinModel="SW - Deferral",mmSubProd2Seg1FinModel="Insurance"),H270,H260)+H269</f>
        <v>2218842.9899999998</v>
      </c>
      <c r="J271" s="337"/>
      <c r="K271" s="337"/>
      <c r="L271" s="337"/>
      <c r="M271" s="337"/>
      <c r="N271" s="337"/>
      <c r="O271" s="337"/>
      <c r="P271" s="337"/>
      <c r="Q271" s="337"/>
      <c r="R271" s="337"/>
      <c r="S271" s="337"/>
      <c r="T271" s="337"/>
      <c r="U271" s="337"/>
      <c r="V271" s="337"/>
      <c r="W271" s="337"/>
    </row>
    <row r="272" spans="1:23" s="285" customFormat="1">
      <c r="C272" s="285" t="s">
        <v>806</v>
      </c>
      <c r="E272" s="335">
        <f>IF(mmSubProd2Seg1FinModel="SW - Deferral",E265-E271,IF(mmSubProd2Seg1FinModel="Insurance",E265-E271,E262/$E$232))</f>
        <v>1100314.7999999998</v>
      </c>
      <c r="F272" s="335">
        <f>IF(mmSubProd2Seg1FinModel="SW - Deferral",F265-F271,IF(mmSubProd2Seg1FinModel="Insurance",F265-F271,F262/$E$232))</f>
        <v>1647420.8400000003</v>
      </c>
      <c r="G272" s="335">
        <f>IF(mmSubProd2Seg1FinModel="SW - Deferral",G265-G271,IF(mmSubProd2Seg1FinModel="Insurance",G265-G271,G262/$E$232))</f>
        <v>875461.86000000034</v>
      </c>
      <c r="H272" s="335">
        <f>IF(mmSubProd2Seg1FinModel="SW - Deferral",H265-H271,IF(mmSubProd2Seg1FinModel="Insurance",H265-H271,H262/$E$232))</f>
        <v>2670589.9350000001</v>
      </c>
      <c r="I272" s="302" t="str">
        <f>IF(mmSubProd2Seg1AttachSwitch="no","**This value times 5 determines mmSubProd2Seg1NewTAM","")</f>
        <v>**This value times 5 determines mmSubProd2Seg1NewTAM</v>
      </c>
      <c r="J272" s="337"/>
      <c r="K272" s="337"/>
      <c r="L272" s="337"/>
      <c r="M272" s="337"/>
      <c r="N272" s="337"/>
      <c r="O272" s="337"/>
      <c r="P272" s="337"/>
      <c r="Q272" s="337"/>
      <c r="R272" s="337"/>
      <c r="S272" s="337"/>
      <c r="T272" s="337"/>
      <c r="U272" s="337"/>
      <c r="V272" s="337"/>
      <c r="W272" s="337"/>
    </row>
    <row r="273" spans="1:23" s="336" customFormat="1" ht="12.9" customHeight="1">
      <c r="A273" s="285"/>
      <c r="E273" s="341"/>
      <c r="F273" s="341"/>
      <c r="G273" s="341"/>
      <c r="H273" s="341"/>
      <c r="J273" s="337"/>
      <c r="K273" s="337"/>
      <c r="L273" s="337"/>
      <c r="M273" s="337"/>
      <c r="N273" s="337"/>
      <c r="O273" s="337"/>
      <c r="P273" s="337"/>
      <c r="Q273" s="337"/>
      <c r="R273" s="337"/>
      <c r="S273" s="337"/>
      <c r="T273" s="337"/>
      <c r="U273" s="337"/>
      <c r="V273" s="337"/>
      <c r="W273" s="337"/>
    </row>
    <row r="274" spans="1:23" s="336" customFormat="1" ht="12.9" hidden="1" customHeight="1">
      <c r="A274" s="296" t="b">
        <f t="shared" ref="A274:A281" si="11">IF(mmSubProd2Seg1AttachSwitch="no",TRUE,FALSE)</f>
        <v>1</v>
      </c>
      <c r="B274" s="334" t="s">
        <v>805</v>
      </c>
      <c r="C274" s="340" t="s">
        <v>804</v>
      </c>
      <c r="D274" s="337"/>
      <c r="E274" s="287" t="s">
        <v>765</v>
      </c>
      <c r="F274" s="287" t="s">
        <v>764</v>
      </c>
      <c r="G274" s="287" t="s">
        <v>763</v>
      </c>
      <c r="H274" s="287" t="s">
        <v>762</v>
      </c>
      <c r="I274" s="337"/>
      <c r="J274" s="337"/>
      <c r="K274" s="337"/>
      <c r="L274" s="337"/>
      <c r="M274" s="337"/>
      <c r="N274" s="337"/>
      <c r="O274" s="337"/>
      <c r="P274" s="337"/>
      <c r="Q274" s="337"/>
      <c r="R274" s="337"/>
      <c r="S274" s="337"/>
      <c r="T274" s="337"/>
      <c r="U274" s="337"/>
      <c r="V274" s="337"/>
      <c r="W274" s="337"/>
    </row>
    <row r="275" spans="1:23" s="336" customFormat="1" ht="12.9" hidden="1" customHeight="1">
      <c r="A275" s="296" t="b">
        <f t="shared" si="11"/>
        <v>1</v>
      </c>
      <c r="B275" s="339"/>
      <c r="C275" s="337" t="s">
        <v>803</v>
      </c>
      <c r="D275" s="337"/>
      <c r="E275" s="338">
        <v>2000</v>
      </c>
      <c r="F275" s="338">
        <f>E275*(1.1)</f>
        <v>2200</v>
      </c>
      <c r="G275" s="338">
        <f>F275*(1.1)</f>
        <v>2420</v>
      </c>
      <c r="H275" s="338">
        <f>G275*(1.1)</f>
        <v>2662</v>
      </c>
      <c r="I275" s="302" t="s">
        <v>802</v>
      </c>
      <c r="J275" s="337"/>
      <c r="K275" s="337"/>
      <c r="L275" s="337"/>
      <c r="M275" s="337"/>
      <c r="N275" s="337"/>
      <c r="O275" s="337"/>
      <c r="P275" s="337"/>
      <c r="Q275" s="337"/>
      <c r="R275" s="337"/>
      <c r="S275" s="337"/>
      <c r="T275" s="337"/>
      <c r="U275" s="337"/>
      <c r="V275" s="337"/>
      <c r="W275" s="337"/>
    </row>
    <row r="276" spans="1:23" s="301" customFormat="1" ht="12.9" hidden="1" customHeight="1">
      <c r="A276" s="296" t="b">
        <f t="shared" si="11"/>
        <v>1</v>
      </c>
      <c r="B276" s="285"/>
      <c r="C276" s="285"/>
      <c r="D276" s="285"/>
      <c r="E276" s="285"/>
      <c r="F276" s="285"/>
      <c r="G276" s="285"/>
      <c r="H276" s="285"/>
      <c r="I276" s="302"/>
      <c r="J276" s="337"/>
      <c r="K276" s="337"/>
      <c r="L276" s="337"/>
      <c r="M276" s="337"/>
      <c r="N276" s="337"/>
      <c r="O276" s="337"/>
      <c r="P276" s="337"/>
      <c r="Q276" s="337"/>
      <c r="R276" s="337"/>
      <c r="S276" s="337"/>
      <c r="T276" s="337"/>
      <c r="U276" s="337"/>
      <c r="V276" s="337"/>
      <c r="W276" s="337"/>
    </row>
    <row r="277" spans="1:23" s="301" customFormat="1" ht="12.9" hidden="1" customHeight="1">
      <c r="A277" s="296" t="b">
        <f t="shared" si="11"/>
        <v>1</v>
      </c>
      <c r="B277" s="285"/>
      <c r="C277" s="298" t="s">
        <v>801</v>
      </c>
      <c r="D277" s="285"/>
      <c r="E277" s="287" t="s">
        <v>765</v>
      </c>
      <c r="F277" s="287" t="s">
        <v>764</v>
      </c>
      <c r="G277" s="287" t="s">
        <v>763</v>
      </c>
      <c r="H277" s="287" t="s">
        <v>762</v>
      </c>
      <c r="I277" s="302"/>
      <c r="J277" s="337"/>
      <c r="K277" s="337"/>
      <c r="L277" s="337"/>
      <c r="M277" s="337"/>
      <c r="N277" s="337"/>
      <c r="O277" s="337"/>
      <c r="P277" s="337"/>
      <c r="Q277" s="337"/>
      <c r="R277" s="337"/>
      <c r="S277" s="337"/>
      <c r="T277" s="337"/>
      <c r="U277" s="337"/>
      <c r="V277" s="337"/>
      <c r="W277" s="337"/>
    </row>
    <row r="278" spans="1:23" s="301" customFormat="1" ht="12.9" hidden="1" customHeight="1">
      <c r="A278" s="296" t="b">
        <f t="shared" si="11"/>
        <v>1</v>
      </c>
      <c r="B278" s="285"/>
      <c r="C278" s="285" t="s">
        <v>800</v>
      </c>
      <c r="D278" s="285"/>
      <c r="E278" s="319">
        <v>0.05</v>
      </c>
      <c r="F278" s="325">
        <f>IF(mmSubProd2Seg1AttachSwitch="yes",5%,0)</f>
        <v>0</v>
      </c>
      <c r="G278" s="325">
        <f>IF(mmSubProd2Seg1AttachSwitch="yes",5%,0)</f>
        <v>0</v>
      </c>
      <c r="H278" s="325">
        <f>IF(mmSubProd2Seg1AttachSwitch="yes",5%,0)</f>
        <v>0</v>
      </c>
      <c r="I278" s="302" t="s">
        <v>799</v>
      </c>
      <c r="J278" s="337"/>
      <c r="K278" s="337"/>
      <c r="L278" s="337"/>
      <c r="M278" s="337"/>
      <c r="N278" s="337"/>
      <c r="O278" s="337"/>
      <c r="P278" s="337"/>
      <c r="Q278" s="337"/>
      <c r="R278" s="337"/>
      <c r="S278" s="337"/>
      <c r="T278" s="337"/>
      <c r="U278" s="337"/>
      <c r="V278" s="337"/>
      <c r="W278" s="337"/>
    </row>
    <row r="279" spans="1:23" s="301" customFormat="1" ht="12.9" hidden="1" customHeight="1">
      <c r="A279" s="296" t="b">
        <f t="shared" si="11"/>
        <v>1</v>
      </c>
      <c r="B279" s="285"/>
      <c r="C279" s="285" t="s">
        <v>766</v>
      </c>
      <c r="D279" s="285"/>
      <c r="E279" s="335">
        <f>E275*E278*IF(mmSubProd2Seg1AttachSwitch="yes",1,0)</f>
        <v>0</v>
      </c>
      <c r="F279" s="335">
        <f>F275*F278*IF(mmSubProd2Seg1AttachSwitch="yes",1,0)</f>
        <v>0</v>
      </c>
      <c r="G279" s="335">
        <f>G275*G278*IF(mmSubProd2Seg1AttachSwitch="yes",1,0)</f>
        <v>0</v>
      </c>
      <c r="H279" s="335">
        <f>H275*H278*IF(mmSubProd2Seg1AttachSwitch="yes",1,0)</f>
        <v>0</v>
      </c>
      <c r="I279" s="302"/>
      <c r="J279" s="337"/>
      <c r="K279" s="337"/>
      <c r="L279" s="337"/>
      <c r="M279" s="337"/>
      <c r="N279" s="337"/>
      <c r="O279" s="337"/>
      <c r="P279" s="337"/>
      <c r="Q279" s="337"/>
      <c r="R279" s="337"/>
      <c r="S279" s="337"/>
      <c r="T279" s="337"/>
      <c r="U279" s="337"/>
      <c r="V279" s="337"/>
      <c r="W279" s="337"/>
    </row>
    <row r="280" spans="1:23" s="301" customFormat="1" ht="12.9" hidden="1" customHeight="1">
      <c r="A280" s="296" t="b">
        <f t="shared" si="11"/>
        <v>1</v>
      </c>
      <c r="B280" s="285"/>
      <c r="C280" s="285" t="s">
        <v>798</v>
      </c>
      <c r="D280" s="285"/>
      <c r="E280" s="335">
        <f>E272-E279</f>
        <v>1100314.7999999998</v>
      </c>
      <c r="F280" s="335">
        <f>F272-F279</f>
        <v>1647420.8400000003</v>
      </c>
      <c r="G280" s="335">
        <f>G272-G279</f>
        <v>875461.86000000034</v>
      </c>
      <c r="H280" s="335">
        <f>H272-H279</f>
        <v>2670589.9350000001</v>
      </c>
      <c r="I280" s="302" t="s">
        <v>1408</v>
      </c>
      <c r="J280" s="337"/>
      <c r="K280" s="337"/>
      <c r="L280" s="337"/>
      <c r="M280" s="337"/>
      <c r="N280" s="337"/>
      <c r="O280" s="337"/>
      <c r="P280" s="337"/>
      <c r="Q280" s="337"/>
      <c r="R280" s="337"/>
      <c r="S280" s="337"/>
      <c r="T280" s="337"/>
      <c r="U280" s="337"/>
      <c r="V280" s="337"/>
      <c r="W280" s="337"/>
    </row>
    <row r="281" spans="1:23" s="301" customFormat="1" ht="12.9" hidden="1" customHeight="1">
      <c r="A281" s="296" t="b">
        <f t="shared" si="11"/>
        <v>1</v>
      </c>
      <c r="B281" s="285"/>
      <c r="C281" s="285"/>
      <c r="D281" s="285"/>
      <c r="E281" s="302"/>
      <c r="F281" s="302"/>
      <c r="G281" s="302"/>
      <c r="H281" s="302"/>
      <c r="I281" s="302"/>
      <c r="J281" s="337"/>
      <c r="K281" s="337"/>
      <c r="L281" s="337"/>
      <c r="M281" s="337"/>
      <c r="N281" s="337"/>
      <c r="O281" s="337"/>
      <c r="P281" s="337"/>
      <c r="Q281" s="337"/>
      <c r="R281" s="337"/>
      <c r="S281" s="337"/>
      <c r="T281" s="337"/>
      <c r="U281" s="337"/>
      <c r="V281" s="337"/>
      <c r="W281" s="337"/>
    </row>
    <row r="282" spans="1:23" s="301" customFormat="1" ht="12.9" customHeight="1">
      <c r="A282" s="285"/>
      <c r="B282" s="285"/>
      <c r="C282" s="285"/>
      <c r="D282" s="285"/>
      <c r="E282" s="287" t="s">
        <v>765</v>
      </c>
      <c r="F282" s="287" t="s">
        <v>764</v>
      </c>
      <c r="G282" s="287" t="s">
        <v>763</v>
      </c>
      <c r="H282" s="287" t="s">
        <v>762</v>
      </c>
      <c r="I282" s="302"/>
      <c r="J282" s="337"/>
      <c r="K282" s="337"/>
      <c r="L282" s="337"/>
      <c r="M282" s="337"/>
      <c r="N282" s="337"/>
      <c r="O282" s="337"/>
      <c r="P282" s="337"/>
      <c r="Q282" s="337"/>
      <c r="R282" s="337"/>
      <c r="S282" s="337"/>
      <c r="T282" s="337"/>
      <c r="U282" s="337"/>
      <c r="V282" s="337"/>
      <c r="W282" s="337"/>
    </row>
    <row r="283" spans="1:23" s="285" customFormat="1">
      <c r="B283" s="334" t="s">
        <v>797</v>
      </c>
      <c r="C283" s="289" t="s">
        <v>796</v>
      </c>
      <c r="D283" s="291"/>
      <c r="E283" s="333">
        <f>E280*mmSubTeamsinMarket</f>
        <v>12103462.799999997</v>
      </c>
      <c r="F283" s="333">
        <f>F280*mmSubTeamsinMarket</f>
        <v>18121629.240000002</v>
      </c>
      <c r="G283" s="333">
        <f>G280*mmSubTeamsinMarket</f>
        <v>9630080.4600000046</v>
      </c>
      <c r="H283" s="333">
        <f>H280*mmSubTeamsinMarket</f>
        <v>29376489.285</v>
      </c>
      <c r="I283" s="292" t="s">
        <v>1409</v>
      </c>
      <c r="J283" s="337"/>
      <c r="K283" s="337"/>
      <c r="L283" s="337"/>
      <c r="M283" s="337"/>
      <c r="N283" s="337"/>
      <c r="O283" s="337"/>
      <c r="P283" s="337"/>
      <c r="Q283" s="337"/>
      <c r="R283" s="337"/>
      <c r="S283" s="337"/>
      <c r="T283" s="337"/>
      <c r="U283" s="337"/>
      <c r="V283" s="337"/>
      <c r="W283" s="337"/>
    </row>
    <row r="284" spans="1:23" s="285" customFormat="1">
      <c r="E284" s="300"/>
      <c r="F284" s="300"/>
      <c r="G284" s="300"/>
      <c r="H284" s="300"/>
      <c r="J284" s="300"/>
      <c r="K284" s="300"/>
      <c r="L284" s="300"/>
      <c r="M284" s="300"/>
    </row>
    <row r="285" spans="1:23" s="293" customFormat="1">
      <c r="A285" s="295"/>
      <c r="B285" s="295" t="str">
        <f>nmProd2Seg2&amp;" Growth and Balancing Inputs"</f>
        <v>Intelligent Cloud SMC Growth and Balancing Inputs</v>
      </c>
      <c r="E285" s="294"/>
      <c r="F285" s="294"/>
      <c r="G285" s="294"/>
      <c r="H285" s="294"/>
      <c r="I285" s="294"/>
      <c r="J285" s="294"/>
      <c r="K285" s="294"/>
      <c r="L285" s="294"/>
      <c r="M285" s="294"/>
      <c r="N285" s="294"/>
      <c r="O285" s="294"/>
    </row>
    <row r="286" spans="1:23" s="284" customFormat="1"/>
    <row r="287" spans="1:23" s="284" customFormat="1">
      <c r="B287" s="284" t="s">
        <v>849</v>
      </c>
      <c r="C287" s="365" t="s">
        <v>852</v>
      </c>
      <c r="D287" s="284" t="s">
        <v>1410</v>
      </c>
    </row>
    <row r="288" spans="1:23" s="285" customFormat="1" ht="4.5" customHeight="1">
      <c r="A288" s="286"/>
      <c r="B288" s="286"/>
      <c r="C288" s="292"/>
      <c r="E288" s="290"/>
      <c r="F288" s="290"/>
      <c r="G288" s="290"/>
      <c r="H288" s="290"/>
      <c r="I288" s="290"/>
      <c r="J288" s="290"/>
      <c r="K288" s="290"/>
      <c r="L288" s="290"/>
      <c r="M288" s="290"/>
      <c r="N288" s="290"/>
      <c r="O288" s="290"/>
      <c r="P288" s="287"/>
      <c r="Q288" s="287"/>
      <c r="R288" s="287"/>
      <c r="S288" s="287"/>
      <c r="T288" s="287"/>
      <c r="U288" s="286"/>
      <c r="V288" s="286"/>
    </row>
    <row r="289" spans="1:22" s="284" customFormat="1">
      <c r="B289" s="284" t="s">
        <v>771</v>
      </c>
      <c r="C289" s="365" t="s">
        <v>848</v>
      </c>
      <c r="D289" s="284" t="s">
        <v>1411</v>
      </c>
    </row>
    <row r="290" spans="1:22" s="284" customFormat="1"/>
    <row r="291" spans="1:22" s="285" customFormat="1">
      <c r="A291" s="296" t="b">
        <f>IF(mmSubProd2Seg2FinModel="Other",TRUE,FALSE)</f>
        <v>0</v>
      </c>
    </row>
    <row r="292" spans="1:22" s="285" customFormat="1">
      <c r="A292" s="296" t="b">
        <f>IF(mmSubProd2Seg2FinModel="Other",TRUE,FALSE)</f>
        <v>0</v>
      </c>
      <c r="B292" s="364" t="s">
        <v>847</v>
      </c>
    </row>
    <row r="293" spans="1:22" s="285" customFormat="1" ht="4.5" customHeight="1">
      <c r="A293" s="296" t="b">
        <f>IF(mmSubProd2Seg2FinModel="Other",TRUE,FALSE)</f>
        <v>0</v>
      </c>
      <c r="B293" s="286"/>
      <c r="C293" s="292"/>
      <c r="E293" s="290"/>
      <c r="F293" s="290"/>
      <c r="G293" s="290"/>
      <c r="H293" s="290"/>
      <c r="I293" s="290"/>
      <c r="J293" s="290"/>
      <c r="K293" s="290"/>
      <c r="L293" s="290"/>
      <c r="M293" s="290"/>
      <c r="N293" s="290"/>
      <c r="O293" s="290"/>
      <c r="P293" s="287"/>
      <c r="Q293" s="287"/>
      <c r="R293" s="287"/>
      <c r="S293" s="287"/>
      <c r="T293" s="287"/>
      <c r="U293" s="286"/>
      <c r="V293" s="286"/>
    </row>
    <row r="294" spans="1:22" s="285" customFormat="1">
      <c r="A294" s="296" t="b">
        <f>IF(mmSubProd2Seg2FinModel="Other",TRUE,FALSE)</f>
        <v>0</v>
      </c>
      <c r="B294" s="334" t="s">
        <v>805</v>
      </c>
      <c r="C294" s="363" t="s">
        <v>846</v>
      </c>
      <c r="D294" s="361"/>
      <c r="E294" s="361"/>
      <c r="F294" s="362" t="s">
        <v>845</v>
      </c>
      <c r="G294" s="361"/>
      <c r="H294" s="360"/>
      <c r="I294" s="337"/>
      <c r="J294" s="337"/>
      <c r="K294" s="337"/>
      <c r="L294" s="337"/>
      <c r="M294" s="337"/>
      <c r="N294" s="337"/>
      <c r="O294" s="337"/>
      <c r="P294" s="337"/>
      <c r="Q294" s="337"/>
      <c r="R294" s="337"/>
    </row>
    <row r="295" spans="1:22" s="285" customFormat="1">
      <c r="A295" s="296" t="b">
        <f>IF(OR(mmSubProd2Seg2FinModel="SW - Deferral",mmSubProd2Seg2FinModel="Insurance"),FALSE,TRUE)</f>
        <v>0</v>
      </c>
      <c r="C295" s="357" t="s">
        <v>844</v>
      </c>
      <c r="D295" s="315"/>
      <c r="E295" s="358">
        <v>2</v>
      </c>
      <c r="F295" s="356" t="str">
        <f>IF(mmSubProd2Seg2FinModel="Sw - Deferral","**From FinDefContractLength","")</f>
        <v>**From FinDefContractLength</v>
      </c>
      <c r="G295" s="315"/>
      <c r="H295" s="355"/>
      <c r="I295" s="337"/>
      <c r="J295" s="337"/>
      <c r="K295" s="337"/>
      <c r="L295" s="337"/>
      <c r="M295" s="337"/>
      <c r="N295" s="337"/>
      <c r="O295" s="337"/>
      <c r="P295" s="337"/>
      <c r="Q295" s="337"/>
      <c r="R295" s="337"/>
      <c r="S295" s="346"/>
    </row>
    <row r="296" spans="1:22" s="285" customFormat="1">
      <c r="A296" s="296" t="b">
        <f>IF(mmSubProd2Seg2FinModel="SW - Deferral",FALSE,TRUE)</f>
        <v>0</v>
      </c>
      <c r="C296" s="357" t="s">
        <v>843</v>
      </c>
      <c r="D296" s="315"/>
      <c r="E296" s="359">
        <v>0.5</v>
      </c>
      <c r="F296" s="356"/>
      <c r="G296" s="315"/>
      <c r="H296" s="355"/>
      <c r="I296" s="337"/>
      <c r="J296" s="337"/>
      <c r="K296" s="337"/>
      <c r="L296" s="337"/>
      <c r="M296" s="337"/>
      <c r="N296" s="337"/>
      <c r="O296" s="337"/>
      <c r="P296" s="337"/>
      <c r="Q296" s="337"/>
      <c r="R296" s="337"/>
      <c r="S296" s="346"/>
    </row>
    <row r="297" spans="1:22" s="285" customFormat="1" hidden="1">
      <c r="A297" s="296" t="b">
        <f>IF(mmSubProd2Seg2FinModel="SW - Recurring Revenue",FALSE,TRUE)</f>
        <v>1</v>
      </c>
      <c r="C297" s="357" t="s">
        <v>842</v>
      </c>
      <c r="D297" s="315"/>
      <c r="E297" s="358">
        <v>4</v>
      </c>
      <c r="F297" s="356" t="s">
        <v>841</v>
      </c>
      <c r="G297" s="315"/>
      <c r="H297" s="355"/>
      <c r="I297" s="337"/>
      <c r="J297" s="337"/>
      <c r="K297" s="337"/>
      <c r="L297" s="337"/>
      <c r="M297" s="337"/>
      <c r="N297" s="337"/>
      <c r="O297" s="337"/>
      <c r="P297" s="337"/>
      <c r="Q297" s="337"/>
      <c r="R297" s="337"/>
      <c r="S297" s="346"/>
    </row>
    <row r="298" spans="1:22" s="285" customFormat="1" hidden="1">
      <c r="A298" s="296" t="b">
        <f>IF(mmSubProd2Seg2FinModel="SW - Recurring Revenue",FALSE,TRUE)</f>
        <v>1</v>
      </c>
      <c r="C298" s="357" t="s">
        <v>840</v>
      </c>
      <c r="D298" s="315"/>
      <c r="E298" s="415">
        <v>0.375</v>
      </c>
      <c r="F298" s="356"/>
      <c r="G298" s="315"/>
      <c r="H298" s="355"/>
      <c r="I298" s="337"/>
      <c r="J298" s="337"/>
      <c r="K298" s="337"/>
      <c r="L298" s="337"/>
      <c r="M298" s="337"/>
      <c r="N298" s="337"/>
      <c r="O298" s="337"/>
      <c r="P298" s="337"/>
      <c r="Q298" s="337"/>
      <c r="R298" s="337"/>
      <c r="S298" s="346"/>
    </row>
    <row r="299" spans="1:22" s="285" customFormat="1">
      <c r="A299" s="296" t="b">
        <f>IF(mmSubProd2Seg2FinModel="SW - Deferral",FALSE,TRUE)</f>
        <v>0</v>
      </c>
      <c r="C299" s="357" t="s">
        <v>839</v>
      </c>
      <c r="D299" s="315"/>
      <c r="E299" s="359">
        <v>0.5</v>
      </c>
      <c r="F299" s="356"/>
      <c r="G299" s="315"/>
      <c r="H299" s="355"/>
      <c r="I299" s="337"/>
      <c r="J299" s="337"/>
      <c r="K299" s="337"/>
      <c r="L299" s="337"/>
      <c r="M299" s="337"/>
      <c r="N299" s="337"/>
      <c r="O299" s="337"/>
      <c r="P299" s="337"/>
      <c r="Q299" s="337"/>
      <c r="R299" s="337"/>
      <c r="S299" s="346"/>
    </row>
    <row r="300" spans="1:22" s="285" customFormat="1">
      <c r="A300" s="296" t="b">
        <f>IF(mmSubProd2Seg2FinModel="SW - Deferral",FALSE,TRUE)</f>
        <v>0</v>
      </c>
      <c r="C300" s="357" t="s">
        <v>838</v>
      </c>
      <c r="D300" s="315"/>
      <c r="E300" s="358">
        <f>Obal!$Q229</f>
        <v>68193303.750000015</v>
      </c>
      <c r="F300" s="356" t="s">
        <v>837</v>
      </c>
      <c r="G300" s="315"/>
      <c r="H300" s="355"/>
      <c r="I300" s="337"/>
      <c r="J300" s="337"/>
      <c r="K300" s="337"/>
      <c r="L300" s="337"/>
      <c r="M300" s="337"/>
      <c r="N300" s="337"/>
      <c r="O300" s="337"/>
      <c r="P300" s="337"/>
      <c r="Q300" s="337"/>
      <c r="R300" s="337"/>
      <c r="S300" s="346"/>
    </row>
    <row r="301" spans="1:22" s="285" customFormat="1" hidden="1">
      <c r="A301" s="296" t="b">
        <f>IF(mmSubProd2Seg2FinModel="SW - Recurring Revenue",FALSE,TRUE)</f>
        <v>1</v>
      </c>
      <c r="C301" s="357" t="s">
        <v>836</v>
      </c>
      <c r="D301" s="315"/>
      <c r="E301" s="358">
        <v>9000000</v>
      </c>
      <c r="F301" s="356" t="s">
        <v>835</v>
      </c>
      <c r="G301" s="315"/>
      <c r="H301" s="355"/>
      <c r="I301" s="337"/>
      <c r="J301" s="337"/>
      <c r="K301" s="337"/>
      <c r="L301" s="337"/>
      <c r="M301" s="337"/>
      <c r="N301" s="337"/>
      <c r="O301" s="337"/>
      <c r="P301" s="337"/>
      <c r="Q301" s="337"/>
      <c r="R301" s="337"/>
      <c r="S301" s="346"/>
    </row>
    <row r="302" spans="1:22" s="285" customFormat="1">
      <c r="C302" s="357" t="s">
        <v>188</v>
      </c>
      <c r="D302" s="315"/>
      <c r="E302" s="410">
        <v>50</v>
      </c>
      <c r="F302" s="356" t="s">
        <v>834</v>
      </c>
      <c r="G302" s="315"/>
      <c r="H302" s="355"/>
      <c r="I302" s="337"/>
      <c r="J302" s="337"/>
      <c r="K302" s="337"/>
      <c r="L302" s="337"/>
      <c r="M302" s="337"/>
      <c r="N302" s="337"/>
      <c r="O302" s="337"/>
      <c r="P302" s="337"/>
      <c r="Q302" s="337"/>
      <c r="R302" s="337"/>
    </row>
    <row r="303" spans="1:22" s="337" customFormat="1">
      <c r="A303" s="285"/>
      <c r="B303" s="339"/>
      <c r="C303" s="354" t="s">
        <v>833</v>
      </c>
      <c r="D303" s="351"/>
      <c r="E303" s="353">
        <f>Obal!$Q$164</f>
        <v>1200000</v>
      </c>
      <c r="F303" s="352" t="s">
        <v>832</v>
      </c>
      <c r="G303" s="351"/>
      <c r="H303" s="350"/>
    </row>
    <row r="304" spans="1:22" s="337" customFormat="1">
      <c r="A304" s="285"/>
      <c r="E304" s="347"/>
    </row>
    <row r="305" spans="1:23" s="285" customFormat="1">
      <c r="A305" s="296" t="b">
        <f>IF(OR(mmSubProd2Seg2FinModel="SW - Deferral",mmSubProd2Seg2FinModel="Insurance"),FALSE,TRUE)</f>
        <v>0</v>
      </c>
      <c r="B305" s="334" t="s">
        <v>805</v>
      </c>
      <c r="C305" s="298" t="s">
        <v>831</v>
      </c>
      <c r="E305" s="287" t="s">
        <v>765</v>
      </c>
      <c r="F305" s="287" t="s">
        <v>764</v>
      </c>
      <c r="G305" s="287" t="s">
        <v>763</v>
      </c>
      <c r="H305" s="287" t="s">
        <v>762</v>
      </c>
      <c r="J305" s="337"/>
      <c r="K305" s="337"/>
      <c r="L305" s="337"/>
      <c r="M305" s="337"/>
      <c r="N305" s="337"/>
      <c r="O305" s="337"/>
      <c r="P305" s="337"/>
      <c r="Q305" s="337"/>
      <c r="R305" s="337"/>
      <c r="S305" s="337"/>
      <c r="T305" s="337"/>
      <c r="U305" s="337"/>
      <c r="V305" s="337"/>
      <c r="W305" s="337"/>
    </row>
    <row r="306" spans="1:23" s="285" customFormat="1">
      <c r="A306" s="296" t="b">
        <f>IF(OR(mmSubProd2Seg2FinModel="SW - Deferral",mmSubProd2Seg2FinModel="Insurance"),FALSE,TRUE)</f>
        <v>0</v>
      </c>
      <c r="C306" s="285" t="s">
        <v>821</v>
      </c>
      <c r="F306" s="325">
        <f>INDEX(dataProd2Seg2CloudRevGrowth,2)</f>
        <v>0.29999999999999988</v>
      </c>
      <c r="G306" s="325">
        <f>INDEX(dataProd2Seg2CloudRevGrowth,3)</f>
        <v>0.15000000000000016</v>
      </c>
      <c r="H306" s="325">
        <f>INDEX(dataProd2Seg2CloudRevGrowth,4)</f>
        <v>0.24999999999999997</v>
      </c>
      <c r="J306" s="337"/>
      <c r="K306" s="337"/>
      <c r="L306" s="337"/>
      <c r="M306" s="337"/>
      <c r="N306" s="337"/>
      <c r="O306" s="337"/>
      <c r="P306" s="337"/>
      <c r="Q306" s="337"/>
      <c r="R306" s="337"/>
      <c r="S306" s="337"/>
      <c r="T306" s="337"/>
      <c r="U306" s="337"/>
      <c r="V306" s="337"/>
      <c r="W306" s="337"/>
    </row>
    <row r="307" spans="1:23" s="285" customFormat="1">
      <c r="A307" s="296" t="b">
        <f>IF(OR(mmSubProd2Seg2FinModel="SW - Deferral",mmSubProd2Seg2FinModel="Insurance"),FALSE,TRUE)</f>
        <v>0</v>
      </c>
      <c r="C307" s="285" t="s">
        <v>830</v>
      </c>
      <c r="E307" s="349">
        <f>INDEX(dataProd2Seg2CloudRev,1)</f>
        <v>131774500.00000001</v>
      </c>
      <c r="F307" s="335">
        <f>E307*(1+F306)</f>
        <v>171306850</v>
      </c>
      <c r="G307" s="335">
        <f>F307*(1+G306)</f>
        <v>197002877.50000003</v>
      </c>
      <c r="H307" s="335">
        <f>G307*(1+H306)</f>
        <v>246253596.87500003</v>
      </c>
      <c r="I307" s="285" t="s">
        <v>1412</v>
      </c>
      <c r="J307" s="337"/>
      <c r="K307" s="337"/>
      <c r="L307" s="337"/>
      <c r="M307" s="337"/>
      <c r="N307" s="337"/>
      <c r="O307" s="337"/>
      <c r="P307" s="337"/>
      <c r="Q307" s="337"/>
      <c r="R307" s="337"/>
      <c r="S307" s="337"/>
      <c r="T307" s="337"/>
      <c r="U307" s="337"/>
      <c r="V307" s="337"/>
      <c r="W307" s="337"/>
    </row>
    <row r="308" spans="1:23" s="337" customFormat="1">
      <c r="A308" s="296" t="b">
        <f t="shared" ref="A308:A319" si="12">IF(mmSubProd2Seg2FinModel="SW - Deferral",FALSE,TRUE)</f>
        <v>0</v>
      </c>
      <c r="E308" s="348"/>
    </row>
    <row r="309" spans="1:23" s="285" customFormat="1">
      <c r="A309" s="296" t="b">
        <f t="shared" si="12"/>
        <v>0</v>
      </c>
      <c r="B309" s="334" t="s">
        <v>805</v>
      </c>
      <c r="C309" s="298" t="s">
        <v>829</v>
      </c>
      <c r="E309" s="287" t="s">
        <v>765</v>
      </c>
      <c r="F309" s="287" t="s">
        <v>764</v>
      </c>
      <c r="G309" s="287" t="s">
        <v>763</v>
      </c>
      <c r="H309" s="287" t="s">
        <v>762</v>
      </c>
      <c r="J309" s="337"/>
      <c r="K309" s="337"/>
      <c r="L309" s="337"/>
      <c r="M309" s="337"/>
      <c r="N309" s="337"/>
      <c r="O309" s="337"/>
      <c r="P309" s="337"/>
      <c r="Q309" s="337"/>
      <c r="R309" s="337"/>
      <c r="S309" s="337"/>
      <c r="T309" s="337"/>
      <c r="U309" s="337"/>
      <c r="V309" s="337"/>
      <c r="W309" s="337"/>
    </row>
    <row r="310" spans="1:23" s="285" customFormat="1">
      <c r="A310" s="296" t="b">
        <f t="shared" si="12"/>
        <v>0</v>
      </c>
      <c r="C310" s="285" t="s">
        <v>214</v>
      </c>
      <c r="E310" s="335">
        <f>E300</f>
        <v>68193303.750000015</v>
      </c>
      <c r="F310" s="335">
        <f>E314</f>
        <v>63581196.25</v>
      </c>
      <c r="G310" s="335">
        <f>F314</f>
        <v>107725653.75</v>
      </c>
      <c r="H310" s="335">
        <f>G314</f>
        <v>89277223.75000003</v>
      </c>
      <c r="J310" s="337"/>
      <c r="K310" s="337"/>
      <c r="L310" s="337"/>
      <c r="M310" s="337"/>
      <c r="N310" s="337"/>
      <c r="O310" s="337"/>
      <c r="P310" s="337"/>
      <c r="Q310" s="337"/>
      <c r="R310" s="337"/>
      <c r="S310" s="337"/>
      <c r="T310" s="337"/>
      <c r="U310" s="337"/>
      <c r="V310" s="337"/>
      <c r="W310" s="337"/>
    </row>
    <row r="311" spans="1:23" s="285" customFormat="1">
      <c r="A311" s="296" t="b">
        <f t="shared" si="12"/>
        <v>0</v>
      </c>
      <c r="C311" s="285" t="s">
        <v>828</v>
      </c>
      <c r="E311" s="335">
        <f>E310*IF($E$295=1,0,IF($E$295=2,1,IF($E$295=3,0.5)))*-1</f>
        <v>-68193303.750000015</v>
      </c>
      <c r="F311" s="335">
        <f>F310*IF($E$295=1,0,IF($E$295=2,1,IF($E$295=3,0.5)))*-1</f>
        <v>-63581196.25</v>
      </c>
      <c r="G311" s="335">
        <f>G310*IF($E$295=1,0,IF($E$295=2,1,IF($E$295=3,0.5)))*-1</f>
        <v>-107725653.75</v>
      </c>
      <c r="H311" s="335">
        <f>H310*IF($E$295=1,0,IF($E$295=2,1,IF($E$295=3,0.5)))*-1</f>
        <v>-89277223.75000003</v>
      </c>
      <c r="J311" s="337"/>
      <c r="K311" s="337"/>
      <c r="L311" s="337"/>
      <c r="M311" s="337"/>
      <c r="N311" s="337"/>
      <c r="O311" s="337"/>
      <c r="P311" s="337"/>
      <c r="Q311" s="337"/>
      <c r="R311" s="337"/>
      <c r="S311" s="337"/>
      <c r="T311" s="337"/>
      <c r="U311" s="337"/>
      <c r="V311" s="337"/>
      <c r="W311" s="337"/>
    </row>
    <row r="312" spans="1:23" s="285" customFormat="1">
      <c r="A312" s="296" t="b">
        <f t="shared" si="12"/>
        <v>0</v>
      </c>
      <c r="C312" s="285" t="s">
        <v>827</v>
      </c>
      <c r="E312" s="335">
        <f>E319*$E$299</f>
        <v>63581196.25</v>
      </c>
      <c r="F312" s="335">
        <f>F319*$E$299</f>
        <v>107725653.75</v>
      </c>
      <c r="G312" s="335">
        <f>G319*$E$299</f>
        <v>89277223.75000003</v>
      </c>
      <c r="H312" s="335">
        <f>H319*$E$299</f>
        <v>156976373.125</v>
      </c>
      <c r="J312" s="337"/>
      <c r="K312" s="337"/>
      <c r="L312" s="337"/>
      <c r="M312" s="337"/>
      <c r="N312" s="337"/>
      <c r="O312" s="337"/>
      <c r="P312" s="337"/>
      <c r="Q312" s="337"/>
      <c r="R312" s="337"/>
      <c r="S312" s="337"/>
      <c r="T312" s="337"/>
      <c r="U312" s="337"/>
      <c r="V312" s="337"/>
      <c r="W312" s="337"/>
    </row>
    <row r="313" spans="1:23" s="309" customFormat="1" ht="2.1" customHeight="1">
      <c r="A313" s="296" t="b">
        <f t="shared" si="12"/>
        <v>0</v>
      </c>
      <c r="B313" s="285"/>
      <c r="C313" s="310"/>
      <c r="D313" s="312"/>
      <c r="E313" s="312"/>
      <c r="F313" s="311"/>
      <c r="G313" s="311"/>
      <c r="H313" s="311"/>
      <c r="J313" s="337"/>
      <c r="K313" s="337"/>
      <c r="L313" s="337"/>
      <c r="M313" s="337"/>
      <c r="N313" s="337"/>
      <c r="O313" s="337"/>
      <c r="P313" s="337"/>
      <c r="Q313" s="337"/>
      <c r="R313" s="337"/>
      <c r="S313" s="337"/>
      <c r="T313" s="337"/>
      <c r="U313" s="337"/>
      <c r="V313" s="337"/>
      <c r="W313" s="337"/>
    </row>
    <row r="314" spans="1:23" s="285" customFormat="1">
      <c r="A314" s="296" t="b">
        <f t="shared" si="12"/>
        <v>0</v>
      </c>
      <c r="C314" s="285" t="s">
        <v>215</v>
      </c>
      <c r="E314" s="335">
        <f>SUM(E310:E312)</f>
        <v>63581196.25</v>
      </c>
      <c r="F314" s="335">
        <f>SUM(F310:F312)</f>
        <v>107725653.75</v>
      </c>
      <c r="G314" s="335">
        <f>SUM(G310:G312)</f>
        <v>89277223.75000003</v>
      </c>
      <c r="H314" s="335">
        <f>SUM(H310:H312)</f>
        <v>156976373.125</v>
      </c>
      <c r="J314" s="337"/>
      <c r="K314" s="337"/>
      <c r="L314" s="337"/>
      <c r="M314" s="337"/>
      <c r="N314" s="337"/>
      <c r="O314" s="337"/>
      <c r="P314" s="337"/>
      <c r="Q314" s="337"/>
      <c r="R314" s="337"/>
      <c r="S314" s="337"/>
      <c r="T314" s="337"/>
      <c r="U314" s="337"/>
      <c r="V314" s="337"/>
      <c r="W314" s="337"/>
    </row>
    <row r="315" spans="1:23" s="337" customFormat="1">
      <c r="A315" s="296" t="b">
        <f t="shared" si="12"/>
        <v>0</v>
      </c>
      <c r="E315" s="347"/>
    </row>
    <row r="316" spans="1:23" s="285" customFormat="1">
      <c r="A316" s="296" t="b">
        <f t="shared" si="12"/>
        <v>0</v>
      </c>
      <c r="B316" s="334" t="s">
        <v>805</v>
      </c>
      <c r="C316" s="298" t="s">
        <v>826</v>
      </c>
      <c r="E316" s="287" t="s">
        <v>765</v>
      </c>
      <c r="F316" s="287" t="s">
        <v>764</v>
      </c>
      <c r="G316" s="287" t="s">
        <v>763</v>
      </c>
      <c r="H316" s="287" t="s">
        <v>762</v>
      </c>
      <c r="J316" s="337"/>
      <c r="K316" s="337"/>
      <c r="L316" s="337"/>
      <c r="M316" s="337"/>
      <c r="N316" s="337"/>
      <c r="O316" s="337"/>
      <c r="P316" s="337"/>
      <c r="Q316" s="337"/>
      <c r="R316" s="337"/>
      <c r="S316" s="337"/>
      <c r="T316" s="337"/>
      <c r="U316" s="337"/>
      <c r="V316" s="337"/>
      <c r="W316" s="337"/>
    </row>
    <row r="317" spans="1:23" s="285" customFormat="1">
      <c r="A317" s="296" t="b">
        <f t="shared" si="12"/>
        <v>0</v>
      </c>
      <c r="C317" s="285" t="s">
        <v>825</v>
      </c>
      <c r="E317" s="335">
        <f>-1*E311</f>
        <v>68193303.750000015</v>
      </c>
      <c r="F317" s="335">
        <f>-1*F311</f>
        <v>63581196.25</v>
      </c>
      <c r="G317" s="335">
        <f>-1*G311</f>
        <v>107725653.75</v>
      </c>
      <c r="H317" s="335">
        <f>-1*H311</f>
        <v>89277223.75000003</v>
      </c>
      <c r="J317" s="337"/>
      <c r="K317" s="337"/>
      <c r="L317" s="337"/>
      <c r="M317" s="337"/>
      <c r="N317" s="337"/>
      <c r="O317" s="337"/>
      <c r="P317" s="337"/>
      <c r="Q317" s="337"/>
      <c r="R317" s="337"/>
      <c r="S317" s="337"/>
      <c r="T317" s="337"/>
      <c r="U317" s="337"/>
      <c r="V317" s="337"/>
      <c r="W317" s="337"/>
    </row>
    <row r="318" spans="1:23" s="285" customFormat="1">
      <c r="A318" s="296" t="b">
        <f t="shared" si="12"/>
        <v>0</v>
      </c>
      <c r="C318" s="285" t="s">
        <v>824</v>
      </c>
      <c r="E318" s="335">
        <f>E307-E317</f>
        <v>63581196.25</v>
      </c>
      <c r="F318" s="335">
        <f>F307-F317</f>
        <v>107725653.75</v>
      </c>
      <c r="G318" s="335">
        <f>G307-G317</f>
        <v>89277223.75000003</v>
      </c>
      <c r="H318" s="335">
        <f>H307-H317</f>
        <v>156976373.125</v>
      </c>
      <c r="J318" s="337"/>
      <c r="K318" s="337"/>
      <c r="L318" s="337"/>
      <c r="M318" s="337"/>
      <c r="N318" s="337"/>
      <c r="O318" s="337"/>
      <c r="P318" s="337"/>
      <c r="Q318" s="337"/>
      <c r="R318" s="337"/>
      <c r="S318" s="337"/>
      <c r="T318" s="337"/>
      <c r="U318" s="337"/>
      <c r="V318" s="337"/>
      <c r="W318" s="337"/>
    </row>
    <row r="319" spans="1:23" s="285" customFormat="1">
      <c r="A319" s="296" t="b">
        <f t="shared" si="12"/>
        <v>0</v>
      </c>
      <c r="C319" s="285" t="s">
        <v>823</v>
      </c>
      <c r="E319" s="335">
        <f>E318*$E$295</f>
        <v>127162392.5</v>
      </c>
      <c r="F319" s="335">
        <f>F318*$E$295</f>
        <v>215451307.5</v>
      </c>
      <c r="G319" s="335">
        <f>G318*$E$295</f>
        <v>178554447.50000006</v>
      </c>
      <c r="H319" s="335">
        <f>H318*$E$295</f>
        <v>313952746.25</v>
      </c>
      <c r="I319" s="285" t="s">
        <v>1413</v>
      </c>
      <c r="J319" s="337"/>
      <c r="K319" s="337"/>
      <c r="L319" s="337"/>
      <c r="M319" s="337"/>
      <c r="N319" s="337"/>
      <c r="O319" s="337"/>
      <c r="P319" s="337"/>
      <c r="Q319" s="337"/>
      <c r="R319" s="337"/>
      <c r="S319" s="337"/>
      <c r="T319" s="337"/>
      <c r="U319" s="337"/>
      <c r="V319" s="337"/>
      <c r="W319" s="337"/>
    </row>
    <row r="320" spans="1:23" s="285" customFormat="1" hidden="1">
      <c r="A320" s="296" t="b">
        <f t="shared" ref="A320:A332" si="13">IF(mmSubProd2Seg2FinModel="SW - Recurring Revenue",FALSE,TRUE)</f>
        <v>1</v>
      </c>
      <c r="C320" s="298" t="s">
        <v>822</v>
      </c>
      <c r="E320" s="345" t="s">
        <v>765</v>
      </c>
      <c r="F320" s="345" t="s">
        <v>764</v>
      </c>
      <c r="G320" s="345" t="s">
        <v>763</v>
      </c>
      <c r="H320" s="345" t="s">
        <v>762</v>
      </c>
      <c r="J320" s="337"/>
      <c r="K320" s="337"/>
      <c r="L320" s="337"/>
      <c r="M320" s="337"/>
      <c r="N320" s="337"/>
      <c r="O320" s="337"/>
      <c r="P320" s="337"/>
      <c r="Q320" s="337"/>
      <c r="R320" s="337"/>
      <c r="S320" s="337"/>
      <c r="T320" s="337"/>
      <c r="U320" s="337"/>
      <c r="V320" s="337"/>
      <c r="W320" s="337"/>
    </row>
    <row r="321" spans="1:23" s="285" customFormat="1" hidden="1">
      <c r="A321" s="296" t="b">
        <f t="shared" si="13"/>
        <v>1</v>
      </c>
      <c r="C321" s="285" t="s">
        <v>821</v>
      </c>
      <c r="E321" s="300"/>
      <c r="F321" s="344">
        <v>0.1</v>
      </c>
      <c r="G321" s="344">
        <v>0.1</v>
      </c>
      <c r="H321" s="344">
        <v>0.1</v>
      </c>
      <c r="J321" s="337"/>
      <c r="K321" s="337"/>
      <c r="L321" s="337"/>
      <c r="M321" s="337"/>
      <c r="N321" s="337"/>
      <c r="O321" s="337"/>
      <c r="P321" s="337"/>
      <c r="Q321" s="337"/>
      <c r="R321" s="337"/>
      <c r="S321" s="337"/>
      <c r="T321" s="337"/>
      <c r="U321" s="337"/>
      <c r="V321" s="337"/>
      <c r="W321" s="337"/>
    </row>
    <row r="322" spans="1:23" s="285" customFormat="1" hidden="1">
      <c r="A322" s="296" t="b">
        <f t="shared" si="13"/>
        <v>1</v>
      </c>
      <c r="C322" s="285" t="s">
        <v>820</v>
      </c>
      <c r="E322" s="343">
        <v>11000000</v>
      </c>
      <c r="F322" s="335">
        <f>E322*(1+F321)</f>
        <v>12100000.000000002</v>
      </c>
      <c r="G322" s="335">
        <f>F322*(1+G321)</f>
        <v>13310000.000000004</v>
      </c>
      <c r="H322" s="335">
        <f>G322*(1+H321)</f>
        <v>14641000.000000006</v>
      </c>
      <c r="I322" s="285" t="s">
        <v>1414</v>
      </c>
      <c r="J322" s="337"/>
      <c r="K322" s="337"/>
      <c r="L322" s="337"/>
      <c r="M322" s="337"/>
      <c r="N322" s="337"/>
      <c r="O322" s="337"/>
      <c r="P322" s="337"/>
      <c r="Q322" s="337"/>
      <c r="R322" s="337"/>
      <c r="S322" s="337"/>
      <c r="T322" s="337"/>
      <c r="U322" s="337"/>
      <c r="V322" s="337"/>
      <c r="W322" s="337"/>
    </row>
    <row r="323" spans="1:23" s="285" customFormat="1" hidden="1">
      <c r="A323" s="296" t="b">
        <f t="shared" si="13"/>
        <v>1</v>
      </c>
      <c r="J323" s="337"/>
      <c r="K323" s="337"/>
      <c r="L323" s="337"/>
      <c r="M323" s="337"/>
      <c r="N323" s="337"/>
      <c r="O323" s="337"/>
      <c r="P323" s="337"/>
      <c r="Q323" s="337"/>
      <c r="R323" s="337"/>
      <c r="S323" s="337"/>
      <c r="T323" s="337"/>
      <c r="U323" s="337"/>
      <c r="V323" s="337"/>
      <c r="W323" s="337"/>
    </row>
    <row r="324" spans="1:23" s="285" customFormat="1" hidden="1">
      <c r="A324" s="296" t="b">
        <f t="shared" si="13"/>
        <v>1</v>
      </c>
      <c r="C324" s="298" t="s">
        <v>819</v>
      </c>
      <c r="J324" s="337"/>
      <c r="K324" s="337"/>
      <c r="L324" s="337"/>
      <c r="M324" s="337"/>
      <c r="N324" s="337"/>
      <c r="O324" s="337"/>
      <c r="P324" s="337"/>
      <c r="Q324" s="337"/>
      <c r="R324" s="337"/>
      <c r="S324" s="337"/>
      <c r="T324" s="337"/>
      <c r="U324" s="337"/>
      <c r="V324" s="337"/>
      <c r="W324" s="337"/>
    </row>
    <row r="325" spans="1:23" s="285" customFormat="1" hidden="1">
      <c r="A325" s="296" t="b">
        <f t="shared" si="13"/>
        <v>1</v>
      </c>
      <c r="C325" s="285" t="s">
        <v>818</v>
      </c>
      <c r="E325" s="335">
        <f>E301</f>
        <v>9000000</v>
      </c>
      <c r="F325" s="335">
        <f>E322</f>
        <v>11000000</v>
      </c>
      <c r="G325" s="335">
        <f>F322</f>
        <v>12100000.000000002</v>
      </c>
      <c r="H325" s="335">
        <f>G322</f>
        <v>13310000.000000004</v>
      </c>
      <c r="J325" s="337"/>
      <c r="K325" s="337"/>
      <c r="L325" s="337"/>
      <c r="M325" s="337"/>
      <c r="N325" s="337"/>
      <c r="O325" s="337"/>
      <c r="P325" s="337"/>
      <c r="Q325" s="337"/>
      <c r="R325" s="337"/>
      <c r="S325" s="337"/>
      <c r="T325" s="337"/>
      <c r="U325" s="337"/>
      <c r="V325" s="337"/>
      <c r="W325" s="337"/>
    </row>
    <row r="326" spans="1:23" s="285" customFormat="1" hidden="1">
      <c r="A326" s="296" t="b">
        <f t="shared" si="13"/>
        <v>1</v>
      </c>
      <c r="C326" s="285" t="s">
        <v>817</v>
      </c>
      <c r="E326" s="335">
        <f>E322-E325</f>
        <v>2000000</v>
      </c>
      <c r="F326" s="335">
        <f>F322-F325</f>
        <v>1100000.0000000019</v>
      </c>
      <c r="G326" s="335">
        <f>G322-G325</f>
        <v>1210000.0000000019</v>
      </c>
      <c r="H326" s="335">
        <f>H322-H325</f>
        <v>1331000.0000000019</v>
      </c>
      <c r="I326" s="285" t="s">
        <v>1415</v>
      </c>
      <c r="J326" s="337"/>
      <c r="K326" s="337"/>
      <c r="L326" s="337"/>
      <c r="M326" s="337"/>
      <c r="N326" s="337"/>
      <c r="O326" s="337"/>
      <c r="P326" s="337"/>
      <c r="Q326" s="337"/>
      <c r="R326" s="337"/>
      <c r="S326" s="337"/>
      <c r="T326" s="337"/>
      <c r="U326" s="337"/>
      <c r="V326" s="337"/>
      <c r="W326" s="337"/>
    </row>
    <row r="327" spans="1:23" s="285" customFormat="1" hidden="1">
      <c r="A327" s="296" t="b">
        <f t="shared" si="13"/>
        <v>1</v>
      </c>
      <c r="J327" s="337"/>
      <c r="K327" s="337"/>
      <c r="L327" s="337"/>
      <c r="M327" s="337"/>
      <c r="N327" s="337"/>
      <c r="O327" s="337"/>
      <c r="P327" s="337"/>
      <c r="Q327" s="337"/>
      <c r="R327" s="337"/>
      <c r="S327" s="337"/>
      <c r="T327" s="337"/>
      <c r="U327" s="337"/>
      <c r="V327" s="337"/>
      <c r="W327" s="337"/>
    </row>
    <row r="328" spans="1:23" s="285" customFormat="1" hidden="1">
      <c r="A328" s="296" t="b">
        <f t="shared" si="13"/>
        <v>1</v>
      </c>
      <c r="C328" s="285" t="s">
        <v>816</v>
      </c>
      <c r="E328" s="335">
        <f>$E$301+E326*$E$298</f>
        <v>9750000</v>
      </c>
      <c r="F328" s="335">
        <f>F325+F326*$E$298</f>
        <v>11412500</v>
      </c>
      <c r="G328" s="335">
        <f>G325+G326*$E$298</f>
        <v>12553750.000000002</v>
      </c>
      <c r="H328" s="335">
        <f>H325+H326*$E$298</f>
        <v>13809125.000000004</v>
      </c>
      <c r="J328" s="337"/>
      <c r="K328" s="337"/>
      <c r="L328" s="337"/>
      <c r="M328" s="337"/>
      <c r="N328" s="337"/>
      <c r="O328" s="337"/>
      <c r="P328" s="337"/>
      <c r="Q328" s="337"/>
      <c r="R328" s="337"/>
      <c r="S328" s="337"/>
      <c r="T328" s="337"/>
      <c r="U328" s="337"/>
      <c r="V328" s="337"/>
      <c r="W328" s="337"/>
    </row>
    <row r="329" spans="1:23" s="285" customFormat="1" hidden="1">
      <c r="A329" s="296" t="b">
        <f t="shared" si="13"/>
        <v>1</v>
      </c>
      <c r="J329" s="337"/>
      <c r="K329" s="337"/>
      <c r="L329" s="337"/>
      <c r="M329" s="337"/>
      <c r="N329" s="337"/>
      <c r="O329" s="337"/>
      <c r="P329" s="337"/>
      <c r="Q329" s="337"/>
      <c r="R329" s="337"/>
      <c r="S329" s="337"/>
      <c r="T329" s="337"/>
      <c r="U329" s="337"/>
      <c r="V329" s="337"/>
      <c r="W329" s="337"/>
    </row>
    <row r="330" spans="1:23" s="285" customFormat="1" hidden="1">
      <c r="A330" s="296" t="b">
        <f t="shared" si="13"/>
        <v>1</v>
      </c>
      <c r="C330" s="285" t="s">
        <v>808</v>
      </c>
      <c r="E330" s="325">
        <v>0.8</v>
      </c>
      <c r="F330" s="325">
        <v>0.8</v>
      </c>
      <c r="G330" s="325">
        <v>0.8</v>
      </c>
      <c r="H330" s="325">
        <v>0.8</v>
      </c>
      <c r="J330" s="337"/>
      <c r="K330" s="337"/>
      <c r="L330" s="337"/>
      <c r="M330" s="337"/>
      <c r="N330" s="337"/>
      <c r="O330" s="337"/>
      <c r="P330" s="337"/>
      <c r="Q330" s="337"/>
      <c r="R330" s="337"/>
      <c r="S330" s="337"/>
      <c r="T330" s="337"/>
      <c r="U330" s="337"/>
      <c r="V330" s="337"/>
      <c r="W330" s="337"/>
    </row>
    <row r="331" spans="1:23" s="285" customFormat="1" hidden="1">
      <c r="A331" s="296" t="b">
        <f t="shared" si="13"/>
        <v>1</v>
      </c>
      <c r="C331" s="285" t="s">
        <v>815</v>
      </c>
      <c r="E331" s="335">
        <f>-1*E303*$E$302*(1-E330)</f>
        <v>-11999999.999999998</v>
      </c>
      <c r="F331" s="335">
        <f>-1*SUM(E341:E342)*$E$302*(1-F330)</f>
        <v>-25432478.499999993</v>
      </c>
      <c r="G331" s="335">
        <f>-1*SUM(F341:F342)*$E$302*(1-G330)</f>
        <v>-43090261.5</v>
      </c>
      <c r="H331" s="335">
        <f>-1*SUM(G341:G342)*$E$302*(1-H330)</f>
        <v>-35710889.500000007</v>
      </c>
      <c r="J331" s="337"/>
      <c r="K331" s="337"/>
      <c r="L331" s="337"/>
      <c r="M331" s="337"/>
      <c r="N331" s="337"/>
      <c r="O331" s="337"/>
      <c r="P331" s="337"/>
      <c r="Q331" s="337"/>
      <c r="R331" s="337"/>
      <c r="S331" s="337"/>
      <c r="T331" s="337"/>
      <c r="U331" s="337"/>
      <c r="V331" s="337"/>
      <c r="W331" s="337"/>
    </row>
    <row r="332" spans="1:23" s="285" customFormat="1" hidden="1">
      <c r="A332" s="296" t="b">
        <f t="shared" si="13"/>
        <v>1</v>
      </c>
      <c r="C332" s="285" t="s">
        <v>814</v>
      </c>
      <c r="E332" s="335">
        <f>E326-E331</f>
        <v>13999999.999999998</v>
      </c>
      <c r="F332" s="335">
        <f>F326-F331</f>
        <v>26532478.499999993</v>
      </c>
      <c r="G332" s="335">
        <f>G326-G331</f>
        <v>44300261.5</v>
      </c>
      <c r="H332" s="335">
        <f>H326-H331</f>
        <v>37041889.500000007</v>
      </c>
      <c r="J332" s="337"/>
      <c r="K332" s="337"/>
      <c r="L332" s="337"/>
      <c r="M332" s="337"/>
      <c r="N332" s="337"/>
      <c r="O332" s="337"/>
      <c r="P332" s="337"/>
      <c r="Q332" s="337"/>
      <c r="R332" s="337"/>
      <c r="S332" s="337"/>
      <c r="T332" s="337"/>
      <c r="U332" s="337"/>
      <c r="V332" s="337"/>
      <c r="W332" s="337"/>
    </row>
    <row r="333" spans="1:23" s="285" customFormat="1">
      <c r="A333" s="296" t="b">
        <f>IF(OR(mmSubProd2Seg2FinModel="SW - Deferral",mmSubProd2Seg2FinModel="Insurance"),FALSE,TRUE)</f>
        <v>0</v>
      </c>
      <c r="E333" s="300"/>
      <c r="F333" s="300"/>
      <c r="G333" s="300"/>
      <c r="H333" s="300"/>
      <c r="J333" s="337"/>
      <c r="K333" s="337"/>
      <c r="L333" s="337"/>
      <c r="M333" s="337"/>
      <c r="N333" s="337"/>
      <c r="O333" s="337"/>
      <c r="P333" s="337"/>
      <c r="Q333" s="337"/>
      <c r="R333" s="337"/>
      <c r="S333" s="337"/>
      <c r="T333" s="337"/>
      <c r="U333" s="337"/>
      <c r="V333" s="337"/>
      <c r="W333" s="337"/>
    </row>
    <row r="334" spans="1:23" s="285" customFormat="1">
      <c r="A334" s="296" t="b">
        <f>IF(OR(mmSubProd2Seg2FinModel="SW - Deferral",mmSubProd2Seg2FinModel="Insurance"),FALSE,TRUE)</f>
        <v>0</v>
      </c>
      <c r="B334" s="334" t="s">
        <v>805</v>
      </c>
      <c r="C334" s="298" t="s">
        <v>813</v>
      </c>
      <c r="E334" s="287" t="s">
        <v>765</v>
      </c>
      <c r="F334" s="287" t="s">
        <v>764</v>
      </c>
      <c r="G334" s="287" t="s">
        <v>763</v>
      </c>
      <c r="H334" s="287" t="s">
        <v>762</v>
      </c>
      <c r="J334" s="337"/>
      <c r="K334" s="337"/>
      <c r="L334" s="337"/>
      <c r="M334" s="337"/>
      <c r="N334" s="337"/>
      <c r="O334" s="337"/>
      <c r="P334" s="337"/>
      <c r="Q334" s="337"/>
      <c r="R334" s="337"/>
      <c r="S334" s="337"/>
      <c r="T334" s="337"/>
      <c r="U334" s="337"/>
      <c r="V334" s="337"/>
      <c r="W334" s="337"/>
    </row>
    <row r="335" spans="1:23" s="285" customFormat="1">
      <c r="A335" s="296" t="b">
        <f>IF(OR(mmSubProd2Seg2FinModel="SW - Deferral",mmSubProd2Seg2FinModel="Insurance"),FALSE,TRUE)</f>
        <v>0</v>
      </c>
      <c r="C335" s="285" t="s">
        <v>812</v>
      </c>
      <c r="E335" s="335">
        <f>IF(OR(mmSubProd2Seg2FinModel="SW - Deferral",mmSubProd2Seg2FinModel="Insurance"),E319/$E$302,0)</f>
        <v>2543247.85</v>
      </c>
      <c r="F335" s="335">
        <f>IF(OR(mmSubProd2Seg2FinModel="SW - Deferral",mmSubProd2Seg2FinModel="Insurance"),F319/$E$302,0)</f>
        <v>4309026.1500000004</v>
      </c>
      <c r="G335" s="335">
        <f>IF(OR(mmSubProd2Seg2FinModel="SW - Deferral",mmSubProd2Seg2FinModel="Insurance"),G319/$E$302,0)</f>
        <v>3571088.9500000011</v>
      </c>
      <c r="H335" s="335">
        <f>IF(OR(mmSubProd2Seg2FinModel="SW - Deferral",mmSubProd2Seg2FinModel="Insurance"),H319/$E$302,0)</f>
        <v>6279054.9249999998</v>
      </c>
      <c r="J335" s="337"/>
      <c r="K335" s="337"/>
      <c r="L335" s="337"/>
      <c r="M335" s="337"/>
      <c r="N335" s="337"/>
      <c r="O335" s="337"/>
      <c r="P335" s="337"/>
      <c r="Q335" s="337"/>
      <c r="R335" s="337"/>
      <c r="S335" s="337"/>
      <c r="T335" s="337"/>
      <c r="U335" s="337"/>
      <c r="V335" s="337"/>
      <c r="W335" s="337"/>
    </row>
    <row r="336" spans="1:23" s="337" customFormat="1">
      <c r="A336" s="285"/>
      <c r="E336" s="342"/>
      <c r="F336" s="342"/>
      <c r="G336" s="342"/>
      <c r="H336" s="342"/>
    </row>
    <row r="337" spans="1:23" s="285" customFormat="1">
      <c r="B337" s="334" t="s">
        <v>805</v>
      </c>
      <c r="C337" s="298" t="s">
        <v>811</v>
      </c>
      <c r="E337" s="287" t="s">
        <v>765</v>
      </c>
      <c r="F337" s="287" t="s">
        <v>764</v>
      </c>
      <c r="G337" s="287" t="s">
        <v>763</v>
      </c>
      <c r="H337" s="287" t="s">
        <v>762</v>
      </c>
      <c r="J337" s="337"/>
      <c r="K337" s="337"/>
      <c r="L337" s="337"/>
      <c r="M337" s="337"/>
      <c r="N337" s="337"/>
      <c r="O337" s="337"/>
      <c r="P337" s="337"/>
      <c r="Q337" s="337"/>
      <c r="R337" s="337"/>
      <c r="S337" s="337"/>
      <c r="T337" s="337"/>
      <c r="U337" s="337"/>
      <c r="V337" s="337"/>
      <c r="W337" s="337"/>
    </row>
    <row r="338" spans="1:23" s="285" customFormat="1" hidden="1">
      <c r="A338" s="296" t="b">
        <f>IF(mmSubProd2Seg2FinModel="Insurance",FALSE,TRUE)</f>
        <v>1</v>
      </c>
      <c r="C338" s="285" t="s">
        <v>810</v>
      </c>
      <c r="E338" s="317">
        <v>1.4999999999999999E-2</v>
      </c>
      <c r="F338" s="317">
        <v>1.4999999999999999E-2</v>
      </c>
      <c r="G338" s="317">
        <v>1.4999999999999999E-2</v>
      </c>
      <c r="H338" s="317">
        <v>1.4999999999999999E-2</v>
      </c>
      <c r="J338" s="337"/>
      <c r="K338" s="337"/>
      <c r="L338" s="337"/>
      <c r="M338" s="337"/>
      <c r="N338" s="337"/>
      <c r="O338" s="337"/>
      <c r="P338" s="337"/>
      <c r="Q338" s="337"/>
      <c r="R338" s="337"/>
      <c r="S338" s="337"/>
      <c r="T338" s="337"/>
      <c r="U338" s="337"/>
      <c r="V338" s="337"/>
      <c r="W338" s="337"/>
    </row>
    <row r="339" spans="1:23" s="285" customFormat="1" hidden="1">
      <c r="A339" s="296" t="b">
        <f>IF(mmSubProd2Seg2FinModel="Insurance",FALSE,TRUE)</f>
        <v>1</v>
      </c>
      <c r="C339" s="285" t="s">
        <v>809</v>
      </c>
      <c r="E339" s="335">
        <f>E303*E338*(mmSubProd2Seg2FinModel="Insurance")*(-1)</f>
        <v>0</v>
      </c>
      <c r="F339" s="335">
        <f>SUM(E341,E342)*F338*(mmSubProd2Seg2FinModel="Insurance")*(-1)</f>
        <v>0</v>
      </c>
      <c r="G339" s="335">
        <f>SUM(F341,F342)*G338*(mmSubProd2Seg2FinModel="Insurance")*(-1)</f>
        <v>0</v>
      </c>
      <c r="H339" s="335">
        <f>SUM(G341,G342)*H338*(mmSubProd2Seg2FinModel="Insurance")*(-1)</f>
        <v>0</v>
      </c>
      <c r="J339" s="337"/>
      <c r="K339" s="337"/>
      <c r="L339" s="337"/>
      <c r="M339" s="337"/>
      <c r="N339" s="337"/>
      <c r="O339" s="337"/>
      <c r="P339" s="337"/>
      <c r="Q339" s="337"/>
      <c r="R339" s="337"/>
      <c r="S339" s="337"/>
      <c r="T339" s="337"/>
      <c r="U339" s="337"/>
      <c r="V339" s="337"/>
      <c r="W339" s="337"/>
    </row>
    <row r="340" spans="1:23" s="285" customFormat="1">
      <c r="A340" s="296" t="b">
        <f>IF(OR(mmSubProd2Seg2FinModel="SW - Deferral",mmSubProd2Seg2FinModel="Insurance"),FALSE,TRUE)</f>
        <v>0</v>
      </c>
      <c r="C340" s="285" t="s">
        <v>808</v>
      </c>
      <c r="E340" s="325">
        <v>0.7</v>
      </c>
      <c r="F340" s="325">
        <v>0.7</v>
      </c>
      <c r="G340" s="325">
        <v>0.7</v>
      </c>
      <c r="H340" s="325">
        <v>0.7</v>
      </c>
      <c r="I340" s="302" t="s">
        <v>807</v>
      </c>
      <c r="J340" s="337"/>
      <c r="K340" s="337"/>
      <c r="L340" s="337"/>
      <c r="M340" s="337"/>
      <c r="N340" s="337"/>
      <c r="O340" s="337"/>
      <c r="P340" s="337"/>
      <c r="Q340" s="337"/>
      <c r="R340" s="337"/>
      <c r="S340" s="337"/>
      <c r="T340" s="337"/>
      <c r="U340" s="337"/>
      <c r="V340" s="337"/>
      <c r="W340" s="337"/>
    </row>
    <row r="341" spans="1:23" s="285" customFormat="1">
      <c r="C341" s="285" t="s">
        <v>768</v>
      </c>
      <c r="E341" s="335">
        <f>E303*IF(OR(mmSubProd2Seg2FinModel="SW - Deferral",mmSubProd2Seg2FinModel="Insurance"),E340,E330)+E339</f>
        <v>840000</v>
      </c>
      <c r="F341" s="335">
        <f>SUM(E341,E342)*IF(OR(mmSubProd2Seg2FinModel="SW - Deferral",mmSubProd2Seg2FinModel="Insurance"),F340,F330)+F339</f>
        <v>1780273.4949999999</v>
      </c>
      <c r="G341" s="335">
        <f>SUM(F341,F342)*IF(OR(mmSubProd2Seg2FinModel="SW - Deferral",mmSubProd2Seg2FinModel="Insurance"),G340,G330)+G339</f>
        <v>3016318.3050000002</v>
      </c>
      <c r="H341" s="335">
        <f>SUM(G341,G342)*IF(OR(mmSubProd2Seg2FinModel="SW - Deferral",mmSubProd2Seg2FinModel="Insurance"),H340,H330)+H339</f>
        <v>2499762.2650000006</v>
      </c>
      <c r="J341" s="337"/>
      <c r="K341" s="337"/>
      <c r="L341" s="337"/>
      <c r="M341" s="337"/>
      <c r="N341" s="337"/>
      <c r="O341" s="337"/>
      <c r="P341" s="337"/>
      <c r="Q341" s="337"/>
      <c r="R341" s="337"/>
      <c r="S341" s="337"/>
      <c r="T341" s="337"/>
      <c r="U341" s="337"/>
      <c r="V341" s="337"/>
      <c r="W341" s="337"/>
    </row>
    <row r="342" spans="1:23" s="285" customFormat="1">
      <c r="C342" s="285" t="s">
        <v>806</v>
      </c>
      <c r="E342" s="335">
        <f>IF(mmSubProd2Seg2FinModel="SW - Deferral",E335-E341,IF(mmSubProd2Seg2FinModel="Insurance",E335-E341,E332/$E$302))</f>
        <v>1703247.85</v>
      </c>
      <c r="F342" s="335">
        <f>IF(mmSubProd2Seg2FinModel="SW - Deferral",F335-F341,IF(mmSubProd2Seg2FinModel="Insurance",F335-F341,F332/$E$302))</f>
        <v>2528752.6550000003</v>
      </c>
      <c r="G342" s="335">
        <f>IF(mmSubProd2Seg2FinModel="SW - Deferral",G335-G341,IF(mmSubProd2Seg2FinModel="Insurance",G335-G341,G332/$E$302))</f>
        <v>554770.64500000095</v>
      </c>
      <c r="H342" s="335">
        <f>IF(mmSubProd2Seg2FinModel="SW - Deferral",H335-H341,IF(mmSubProd2Seg2FinModel="Insurance",H335-H341,H332/$E$302))</f>
        <v>3779292.6599999992</v>
      </c>
      <c r="I342" s="302" t="str">
        <f>IF(mmSubProd2Seg2AttachSwitch="no","**This value times 5 determines mmSubProd2Seg2NewTAM","")</f>
        <v>**This value times 5 determines mmSubProd2Seg2NewTAM</v>
      </c>
      <c r="J342" s="337"/>
      <c r="K342" s="337"/>
      <c r="L342" s="337"/>
      <c r="M342" s="337"/>
      <c r="N342" s="337"/>
      <c r="O342" s="337"/>
      <c r="P342" s="337"/>
      <c r="Q342" s="337"/>
      <c r="R342" s="337"/>
      <c r="S342" s="337"/>
      <c r="T342" s="337"/>
      <c r="U342" s="337"/>
      <c r="V342" s="337"/>
      <c r="W342" s="337"/>
    </row>
    <row r="343" spans="1:23" s="336" customFormat="1" ht="12.9" customHeight="1">
      <c r="A343" s="285"/>
      <c r="E343" s="341"/>
      <c r="F343" s="341"/>
      <c r="G343" s="341"/>
      <c r="H343" s="341"/>
      <c r="J343" s="337"/>
      <c r="K343" s="337"/>
      <c r="L343" s="337"/>
      <c r="M343" s="337"/>
      <c r="N343" s="337"/>
      <c r="O343" s="337"/>
      <c r="P343" s="337"/>
      <c r="Q343" s="337"/>
      <c r="R343" s="337"/>
      <c r="S343" s="337"/>
      <c r="T343" s="337"/>
      <c r="U343" s="337"/>
      <c r="V343" s="337"/>
      <c r="W343" s="337"/>
    </row>
    <row r="344" spans="1:23" s="336" customFormat="1" ht="12.9" hidden="1" customHeight="1">
      <c r="A344" s="296" t="b">
        <f t="shared" ref="A344:A351" si="14">IF(mmSubProd2Seg2AttachSwitch="no",TRUE,FALSE)</f>
        <v>1</v>
      </c>
      <c r="B344" s="334" t="s">
        <v>805</v>
      </c>
      <c r="C344" s="340" t="s">
        <v>804</v>
      </c>
      <c r="D344" s="337"/>
      <c r="E344" s="287" t="s">
        <v>765</v>
      </c>
      <c r="F344" s="287" t="s">
        <v>764</v>
      </c>
      <c r="G344" s="287" t="s">
        <v>763</v>
      </c>
      <c r="H344" s="287" t="s">
        <v>762</v>
      </c>
      <c r="I344" s="337"/>
      <c r="J344" s="337"/>
      <c r="K344" s="337"/>
      <c r="L344" s="337"/>
      <c r="M344" s="337"/>
      <c r="N344" s="337"/>
      <c r="O344" s="337"/>
      <c r="P344" s="337"/>
      <c r="Q344" s="337"/>
      <c r="R344" s="337"/>
      <c r="S344" s="337"/>
      <c r="T344" s="337"/>
      <c r="U344" s="337"/>
      <c r="V344" s="337"/>
      <c r="W344" s="337"/>
    </row>
    <row r="345" spans="1:23" s="336" customFormat="1" ht="12.9" hidden="1" customHeight="1">
      <c r="A345" s="296" t="b">
        <f t="shared" si="14"/>
        <v>1</v>
      </c>
      <c r="B345" s="339"/>
      <c r="C345" s="337" t="s">
        <v>803</v>
      </c>
      <c r="D345" s="337"/>
      <c r="E345" s="338">
        <v>2000</v>
      </c>
      <c r="F345" s="338">
        <f>E345*(1.1)</f>
        <v>2200</v>
      </c>
      <c r="G345" s="338">
        <f>F345*(1.1)</f>
        <v>2420</v>
      </c>
      <c r="H345" s="338">
        <f>G345*(1.1)</f>
        <v>2662</v>
      </c>
      <c r="I345" s="302" t="s">
        <v>802</v>
      </c>
      <c r="J345" s="337"/>
      <c r="K345" s="337"/>
      <c r="L345" s="337"/>
      <c r="M345" s="337"/>
      <c r="N345" s="337"/>
      <c r="O345" s="337"/>
      <c r="P345" s="337"/>
      <c r="Q345" s="337"/>
      <c r="R345" s="337"/>
      <c r="S345" s="337"/>
      <c r="T345" s="337"/>
      <c r="U345" s="337"/>
      <c r="V345" s="337"/>
      <c r="W345" s="337"/>
    </row>
    <row r="346" spans="1:23" s="301" customFormat="1" ht="12.9" hidden="1" customHeight="1">
      <c r="A346" s="296" t="b">
        <f t="shared" si="14"/>
        <v>1</v>
      </c>
      <c r="B346" s="285"/>
      <c r="C346" s="285"/>
      <c r="D346" s="285"/>
      <c r="E346" s="285"/>
      <c r="F346" s="285"/>
      <c r="G346" s="285"/>
      <c r="H346" s="285"/>
      <c r="I346" s="302"/>
      <c r="J346" s="337"/>
      <c r="K346" s="337"/>
      <c r="L346" s="337"/>
      <c r="M346" s="337"/>
      <c r="N346" s="337"/>
      <c r="O346" s="337"/>
      <c r="P346" s="337"/>
      <c r="Q346" s="337"/>
      <c r="R346" s="337"/>
      <c r="S346" s="337"/>
      <c r="T346" s="337"/>
      <c r="U346" s="337"/>
      <c r="V346" s="337"/>
      <c r="W346" s="337"/>
    </row>
    <row r="347" spans="1:23" s="301" customFormat="1" ht="12.9" hidden="1" customHeight="1">
      <c r="A347" s="296" t="b">
        <f t="shared" si="14"/>
        <v>1</v>
      </c>
      <c r="B347" s="285"/>
      <c r="C347" s="298" t="s">
        <v>801</v>
      </c>
      <c r="D347" s="285"/>
      <c r="E347" s="287" t="s">
        <v>765</v>
      </c>
      <c r="F347" s="287" t="s">
        <v>764</v>
      </c>
      <c r="G347" s="287" t="s">
        <v>763</v>
      </c>
      <c r="H347" s="287" t="s">
        <v>762</v>
      </c>
      <c r="I347" s="302"/>
      <c r="J347" s="337"/>
      <c r="K347" s="337"/>
      <c r="L347" s="337"/>
      <c r="M347" s="337"/>
      <c r="N347" s="337"/>
      <c r="O347" s="337"/>
      <c r="P347" s="337"/>
      <c r="Q347" s="337"/>
      <c r="R347" s="337"/>
      <c r="S347" s="337"/>
      <c r="T347" s="337"/>
      <c r="U347" s="337"/>
      <c r="V347" s="337"/>
      <c r="W347" s="337"/>
    </row>
    <row r="348" spans="1:23" s="301" customFormat="1" ht="12.9" hidden="1" customHeight="1">
      <c r="A348" s="296" t="b">
        <f t="shared" si="14"/>
        <v>1</v>
      </c>
      <c r="B348" s="285"/>
      <c r="C348" s="285" t="s">
        <v>800</v>
      </c>
      <c r="D348" s="285"/>
      <c r="E348" s="319">
        <v>0.05</v>
      </c>
      <c r="F348" s="325">
        <f>IF(mmSubProd2Seg2AttachSwitch="yes",5%,0)</f>
        <v>0</v>
      </c>
      <c r="G348" s="325">
        <f>IF(mmSubProd2Seg2AttachSwitch="yes",5%,0)</f>
        <v>0</v>
      </c>
      <c r="H348" s="325">
        <f>IF(mmSubProd2Seg2AttachSwitch="yes",5%,0)</f>
        <v>0</v>
      </c>
      <c r="I348" s="302" t="s">
        <v>799</v>
      </c>
      <c r="J348" s="337"/>
      <c r="K348" s="337"/>
      <c r="L348" s="337"/>
      <c r="M348" s="337"/>
      <c r="N348" s="337"/>
      <c r="O348" s="337"/>
      <c r="P348" s="337"/>
      <c r="Q348" s="337"/>
      <c r="R348" s="337"/>
      <c r="S348" s="337"/>
      <c r="T348" s="337"/>
      <c r="U348" s="337"/>
      <c r="V348" s="337"/>
      <c r="W348" s="337"/>
    </row>
    <row r="349" spans="1:23" s="301" customFormat="1" ht="12.9" hidden="1" customHeight="1">
      <c r="A349" s="296" t="b">
        <f t="shared" si="14"/>
        <v>1</v>
      </c>
      <c r="B349" s="285"/>
      <c r="C349" s="285" t="s">
        <v>766</v>
      </c>
      <c r="D349" s="285"/>
      <c r="E349" s="335">
        <f>E345*E348*IF(mmSubProd2Seg2AttachSwitch="yes",1,0)</f>
        <v>0</v>
      </c>
      <c r="F349" s="335">
        <f>F345*F348*IF(mmSubProd2Seg2AttachSwitch="yes",1,0)</f>
        <v>0</v>
      </c>
      <c r="G349" s="335">
        <f>G345*G348*IF(mmSubProd2Seg2AttachSwitch="yes",1,0)</f>
        <v>0</v>
      </c>
      <c r="H349" s="335">
        <f>H345*H348*IF(mmSubProd2Seg2AttachSwitch="yes",1,0)</f>
        <v>0</v>
      </c>
      <c r="I349" s="302"/>
      <c r="J349" s="337"/>
      <c r="K349" s="337"/>
      <c r="L349" s="337"/>
      <c r="M349" s="337"/>
      <c r="N349" s="337"/>
      <c r="O349" s="337"/>
      <c r="P349" s="337"/>
      <c r="Q349" s="337"/>
      <c r="R349" s="337"/>
      <c r="S349" s="337"/>
      <c r="T349" s="337"/>
      <c r="U349" s="337"/>
      <c r="V349" s="337"/>
      <c r="W349" s="337"/>
    </row>
    <row r="350" spans="1:23" s="301" customFormat="1" ht="12.9" hidden="1" customHeight="1">
      <c r="A350" s="296" t="b">
        <f t="shared" si="14"/>
        <v>1</v>
      </c>
      <c r="B350" s="285"/>
      <c r="C350" s="285" t="s">
        <v>798</v>
      </c>
      <c r="D350" s="285"/>
      <c r="E350" s="335">
        <f>E342-E349</f>
        <v>1703247.85</v>
      </c>
      <c r="F350" s="335">
        <f>F342-F349</f>
        <v>2528752.6550000003</v>
      </c>
      <c r="G350" s="335">
        <f>G342-G349</f>
        <v>554770.64500000095</v>
      </c>
      <c r="H350" s="335">
        <f>H342-H349</f>
        <v>3779292.6599999992</v>
      </c>
      <c r="I350" s="302" t="s">
        <v>1416</v>
      </c>
      <c r="J350" s="337"/>
      <c r="K350" s="337"/>
      <c r="L350" s="337"/>
      <c r="M350" s="337"/>
      <c r="N350" s="337"/>
      <c r="O350" s="337"/>
      <c r="P350" s="337"/>
      <c r="Q350" s="337"/>
      <c r="R350" s="337"/>
      <c r="S350" s="337"/>
      <c r="T350" s="337"/>
      <c r="U350" s="337"/>
      <c r="V350" s="337"/>
      <c r="W350" s="337"/>
    </row>
    <row r="351" spans="1:23" s="301" customFormat="1" ht="12.9" hidden="1" customHeight="1">
      <c r="A351" s="296" t="b">
        <f t="shared" si="14"/>
        <v>1</v>
      </c>
      <c r="B351" s="285"/>
      <c r="C351" s="285"/>
      <c r="D351" s="285"/>
      <c r="E351" s="302"/>
      <c r="F351" s="302"/>
      <c r="G351" s="302"/>
      <c r="H351" s="302"/>
      <c r="I351" s="302"/>
      <c r="J351" s="337"/>
      <c r="K351" s="337"/>
      <c r="L351" s="337"/>
      <c r="M351" s="337"/>
      <c r="N351" s="337"/>
      <c r="O351" s="337"/>
      <c r="P351" s="337"/>
      <c r="Q351" s="337"/>
      <c r="R351" s="337"/>
      <c r="S351" s="337"/>
      <c r="T351" s="337"/>
      <c r="U351" s="337"/>
      <c r="V351" s="337"/>
      <c r="W351" s="337"/>
    </row>
    <row r="352" spans="1:23" s="301" customFormat="1" ht="12.9" customHeight="1">
      <c r="A352" s="285"/>
      <c r="B352" s="285"/>
      <c r="C352" s="285"/>
      <c r="D352" s="285"/>
      <c r="E352" s="287" t="s">
        <v>765</v>
      </c>
      <c r="F352" s="287" t="s">
        <v>764</v>
      </c>
      <c r="G352" s="287" t="s">
        <v>763</v>
      </c>
      <c r="H352" s="287" t="s">
        <v>762</v>
      </c>
      <c r="I352" s="302"/>
      <c r="J352" s="337"/>
      <c r="K352" s="337"/>
      <c r="L352" s="337"/>
      <c r="M352" s="337"/>
      <c r="N352" s="337"/>
      <c r="O352" s="337"/>
      <c r="P352" s="337"/>
      <c r="Q352" s="337"/>
      <c r="R352" s="337"/>
      <c r="S352" s="337"/>
      <c r="T352" s="337"/>
      <c r="U352" s="337"/>
      <c r="V352" s="337"/>
      <c r="W352" s="337"/>
    </row>
    <row r="353" spans="1:23" s="285" customFormat="1">
      <c r="B353" s="334" t="s">
        <v>797</v>
      </c>
      <c r="C353" s="289" t="s">
        <v>796</v>
      </c>
      <c r="D353" s="291"/>
      <c r="E353" s="333">
        <f>E350*mmSubTeamsinMarket</f>
        <v>18735726.350000001</v>
      </c>
      <c r="F353" s="333">
        <f>F350*mmSubTeamsinMarket</f>
        <v>27816279.205000002</v>
      </c>
      <c r="G353" s="333">
        <f>G350*mmSubTeamsinMarket</f>
        <v>6102477.09500001</v>
      </c>
      <c r="H353" s="333">
        <f>H350*mmSubTeamsinMarket</f>
        <v>41572219.25999999</v>
      </c>
      <c r="I353" s="292" t="s">
        <v>1417</v>
      </c>
      <c r="J353" s="337"/>
      <c r="K353" s="337"/>
      <c r="L353" s="337"/>
      <c r="M353" s="337"/>
      <c r="N353" s="337"/>
      <c r="O353" s="337"/>
      <c r="P353" s="337"/>
      <c r="Q353" s="337"/>
      <c r="R353" s="337"/>
      <c r="S353" s="337"/>
      <c r="T353" s="337"/>
      <c r="U353" s="337"/>
      <c r="V353" s="337"/>
      <c r="W353" s="337"/>
    </row>
    <row r="354" spans="1:23" s="285" customFormat="1">
      <c r="E354" s="300"/>
      <c r="F354" s="300"/>
      <c r="G354" s="300"/>
      <c r="H354" s="300"/>
      <c r="J354" s="300"/>
      <c r="K354" s="300"/>
      <c r="L354" s="300"/>
      <c r="M354" s="300"/>
    </row>
    <row r="355" spans="1:23" s="284" customFormat="1">
      <c r="A355" s="285"/>
      <c r="F355" s="299"/>
      <c r="K355" s="299"/>
    </row>
    <row r="356" spans="1:23" s="284" customFormat="1">
      <c r="A356" s="285"/>
      <c r="F356" s="299"/>
      <c r="K356" s="299"/>
    </row>
    <row r="357" spans="1:23" s="284" customFormat="1">
      <c r="A357" s="285"/>
      <c r="F357" s="299"/>
      <c r="K357" s="299"/>
    </row>
    <row r="358" spans="1:23" s="284" customFormat="1">
      <c r="A358" s="285"/>
      <c r="F358" s="299"/>
      <c r="K358" s="299"/>
    </row>
    <row r="359" spans="1:23" s="284" customFormat="1">
      <c r="A359" s="285"/>
      <c r="F359" s="299"/>
      <c r="K359" s="299"/>
    </row>
  </sheetData>
  <conditionalFormatting sqref="E14:I14">
    <cfRule type="colorScale" priority="40">
      <colorScale>
        <cfvo type="min"/>
        <cfvo type="percentile" val="50"/>
        <cfvo type="max"/>
        <color rgb="FFF8696B"/>
        <color rgb="FFFFEB84"/>
        <color rgb="FF63BE7B"/>
      </colorScale>
    </cfRule>
  </conditionalFormatting>
  <conditionalFormatting sqref="E16">
    <cfRule type="expression" dxfId="9" priority="39">
      <formula>mmSubFinModel="Insurance"</formula>
    </cfRule>
  </conditionalFormatting>
  <conditionalFormatting sqref="J14:N14">
    <cfRule type="colorScale" priority="38">
      <colorScale>
        <cfvo type="min"/>
        <cfvo type="percentile" val="50"/>
        <cfvo type="max"/>
        <color rgb="FFF8696B"/>
        <color rgb="FFFFEB84"/>
        <color rgb="FF63BE7B"/>
      </colorScale>
    </cfRule>
  </conditionalFormatting>
  <conditionalFormatting sqref="J16">
    <cfRule type="expression" dxfId="8" priority="37">
      <formula>mmSubFinModel="Insurance"</formula>
    </cfRule>
  </conditionalFormatting>
  <conditionalFormatting sqref="O14">
    <cfRule type="colorScale" priority="36">
      <colorScale>
        <cfvo type="min"/>
        <cfvo type="percentile" val="50"/>
        <cfvo type="max"/>
        <color rgb="FFF8696B"/>
        <color rgb="FFFFEB84"/>
        <color rgb="FF63BE7B"/>
      </colorScale>
    </cfRule>
  </conditionalFormatting>
  <conditionalFormatting sqref="E83:I83">
    <cfRule type="colorScale" priority="35">
      <colorScale>
        <cfvo type="min"/>
        <cfvo type="percentile" val="50"/>
        <cfvo type="max"/>
        <color rgb="FFF8696B"/>
        <color rgb="FFFFEB84"/>
        <color rgb="FF63BE7B"/>
      </colorScale>
    </cfRule>
  </conditionalFormatting>
  <conditionalFormatting sqref="E85">
    <cfRule type="expression" dxfId="7" priority="34">
      <formula>mmSubFinModel="Insurance"</formula>
    </cfRule>
  </conditionalFormatting>
  <conditionalFormatting sqref="J83:N83">
    <cfRule type="colorScale" priority="33">
      <colorScale>
        <cfvo type="min"/>
        <cfvo type="percentile" val="50"/>
        <cfvo type="max"/>
        <color rgb="FFF8696B"/>
        <color rgb="FFFFEB84"/>
        <color rgb="FF63BE7B"/>
      </colorScale>
    </cfRule>
  </conditionalFormatting>
  <conditionalFormatting sqref="J85">
    <cfRule type="expression" dxfId="6" priority="32">
      <formula>mmSubFinModel="Insurance"</formula>
    </cfRule>
  </conditionalFormatting>
  <conditionalFormatting sqref="O83">
    <cfRule type="colorScale" priority="31">
      <colorScale>
        <cfvo type="min"/>
        <cfvo type="percentile" val="50"/>
        <cfvo type="max"/>
        <color rgb="FFF8696B"/>
        <color rgb="FFFFEB84"/>
        <color rgb="FF63BE7B"/>
      </colorScale>
    </cfRule>
  </conditionalFormatting>
  <conditionalFormatting sqref="E153:I153">
    <cfRule type="colorScale" priority="30">
      <colorScale>
        <cfvo type="min"/>
        <cfvo type="percentile" val="50"/>
        <cfvo type="max"/>
        <color rgb="FFF8696B"/>
        <color rgb="FFFFEB84"/>
        <color rgb="FF63BE7B"/>
      </colorScale>
    </cfRule>
  </conditionalFormatting>
  <conditionalFormatting sqref="E155">
    <cfRule type="expression" dxfId="5" priority="29">
      <formula>mmSubFinModel="Insurance"</formula>
    </cfRule>
  </conditionalFormatting>
  <conditionalFormatting sqref="J153:N153">
    <cfRule type="colorScale" priority="28">
      <colorScale>
        <cfvo type="min"/>
        <cfvo type="percentile" val="50"/>
        <cfvo type="max"/>
        <color rgb="FFF8696B"/>
        <color rgb="FFFFEB84"/>
        <color rgb="FF63BE7B"/>
      </colorScale>
    </cfRule>
  </conditionalFormatting>
  <conditionalFormatting sqref="J155">
    <cfRule type="expression" dxfId="4" priority="27">
      <formula>mmSubFinModel="Insurance"</formula>
    </cfRule>
  </conditionalFormatting>
  <conditionalFormatting sqref="O153">
    <cfRule type="colorScale" priority="26">
      <colorScale>
        <cfvo type="min"/>
        <cfvo type="percentile" val="50"/>
        <cfvo type="max"/>
        <color rgb="FFF8696B"/>
        <color rgb="FFFFEB84"/>
        <color rgb="FF63BE7B"/>
      </colorScale>
    </cfRule>
  </conditionalFormatting>
  <conditionalFormatting sqref="E223:I223">
    <cfRule type="colorScale" priority="25">
      <colorScale>
        <cfvo type="min"/>
        <cfvo type="percentile" val="50"/>
        <cfvo type="max"/>
        <color rgb="FFF8696B"/>
        <color rgb="FFFFEB84"/>
        <color rgb="FF63BE7B"/>
      </colorScale>
    </cfRule>
  </conditionalFormatting>
  <conditionalFormatting sqref="J223:N223">
    <cfRule type="colorScale" priority="24">
      <colorScale>
        <cfvo type="min"/>
        <cfvo type="percentile" val="50"/>
        <cfvo type="max"/>
        <color rgb="FFF8696B"/>
        <color rgb="FFFFEB84"/>
        <color rgb="FF63BE7B"/>
      </colorScale>
    </cfRule>
  </conditionalFormatting>
  <conditionalFormatting sqref="J225">
    <cfRule type="expression" dxfId="3" priority="23">
      <formula>mmSubFinModel="Insurance"</formula>
    </cfRule>
  </conditionalFormatting>
  <conditionalFormatting sqref="O223">
    <cfRule type="colorScale" priority="22">
      <colorScale>
        <cfvo type="min"/>
        <cfvo type="percentile" val="50"/>
        <cfvo type="max"/>
        <color rgb="FFF8696B"/>
        <color rgb="FFFFEB84"/>
        <color rgb="FF63BE7B"/>
      </colorScale>
    </cfRule>
  </conditionalFormatting>
  <conditionalFormatting sqref="E225">
    <cfRule type="expression" dxfId="2" priority="21">
      <formula>mmSubFinModel="Insurance"</formula>
    </cfRule>
  </conditionalFormatting>
  <conditionalFormatting sqref="E293:I293">
    <cfRule type="colorScale" priority="20">
      <colorScale>
        <cfvo type="min"/>
        <cfvo type="percentile" val="50"/>
        <cfvo type="max"/>
        <color rgb="FFF8696B"/>
        <color rgb="FFFFEB84"/>
        <color rgb="FF63BE7B"/>
      </colorScale>
    </cfRule>
  </conditionalFormatting>
  <conditionalFormatting sqref="J293:N293">
    <cfRule type="colorScale" priority="19">
      <colorScale>
        <cfvo type="min"/>
        <cfvo type="percentile" val="50"/>
        <cfvo type="max"/>
        <color rgb="FFF8696B"/>
        <color rgb="FFFFEB84"/>
        <color rgb="FF63BE7B"/>
      </colorScale>
    </cfRule>
  </conditionalFormatting>
  <conditionalFormatting sqref="J295">
    <cfRule type="expression" dxfId="1" priority="18">
      <formula>mmSubFinModel="Insurance"</formula>
    </cfRule>
  </conditionalFormatting>
  <conditionalFormatting sqref="O293">
    <cfRule type="colorScale" priority="17">
      <colorScale>
        <cfvo type="min"/>
        <cfvo type="percentile" val="50"/>
        <cfvo type="max"/>
        <color rgb="FFF8696B"/>
        <color rgb="FFFFEB84"/>
        <color rgb="FF63BE7B"/>
      </colorScale>
    </cfRule>
  </conditionalFormatting>
  <conditionalFormatting sqref="E295">
    <cfRule type="expression" dxfId="0" priority="16">
      <formula>mmSubFinModel="Insurance"</formula>
    </cfRule>
  </conditionalFormatting>
  <conditionalFormatting sqref="E9:I9">
    <cfRule type="colorScale" priority="15">
      <colorScale>
        <cfvo type="min"/>
        <cfvo type="percentile" val="50"/>
        <cfvo type="max"/>
        <color rgb="FFF8696B"/>
        <color rgb="FFFFEB84"/>
        <color rgb="FF63BE7B"/>
      </colorScale>
    </cfRule>
  </conditionalFormatting>
  <conditionalFormatting sqref="J9:N9">
    <cfRule type="colorScale" priority="14">
      <colorScale>
        <cfvo type="min"/>
        <cfvo type="percentile" val="50"/>
        <cfvo type="max"/>
        <color rgb="FFF8696B"/>
        <color rgb="FFFFEB84"/>
        <color rgb="FF63BE7B"/>
      </colorScale>
    </cfRule>
  </conditionalFormatting>
  <conditionalFormatting sqref="O9">
    <cfRule type="colorScale" priority="13">
      <colorScale>
        <cfvo type="min"/>
        <cfvo type="percentile" val="50"/>
        <cfvo type="max"/>
        <color rgb="FFF8696B"/>
        <color rgb="FFFFEB84"/>
        <color rgb="FF63BE7B"/>
      </colorScale>
    </cfRule>
  </conditionalFormatting>
  <conditionalFormatting sqref="E79:I79">
    <cfRule type="colorScale" priority="12">
      <colorScale>
        <cfvo type="min"/>
        <cfvo type="percentile" val="50"/>
        <cfvo type="max"/>
        <color rgb="FFF8696B"/>
        <color rgb="FFFFEB84"/>
        <color rgb="FF63BE7B"/>
      </colorScale>
    </cfRule>
  </conditionalFormatting>
  <conditionalFormatting sqref="J79:N79">
    <cfRule type="colorScale" priority="11">
      <colorScale>
        <cfvo type="min"/>
        <cfvo type="percentile" val="50"/>
        <cfvo type="max"/>
        <color rgb="FFF8696B"/>
        <color rgb="FFFFEB84"/>
        <color rgb="FF63BE7B"/>
      </colorScale>
    </cfRule>
  </conditionalFormatting>
  <conditionalFormatting sqref="O79">
    <cfRule type="colorScale" priority="10">
      <colorScale>
        <cfvo type="min"/>
        <cfvo type="percentile" val="50"/>
        <cfvo type="max"/>
        <color rgb="FFF8696B"/>
        <color rgb="FFFFEB84"/>
        <color rgb="FF63BE7B"/>
      </colorScale>
    </cfRule>
  </conditionalFormatting>
  <conditionalFormatting sqref="E148:I148">
    <cfRule type="colorScale" priority="9">
      <colorScale>
        <cfvo type="min"/>
        <cfvo type="percentile" val="50"/>
        <cfvo type="max"/>
        <color rgb="FFF8696B"/>
        <color rgb="FFFFEB84"/>
        <color rgb="FF63BE7B"/>
      </colorScale>
    </cfRule>
  </conditionalFormatting>
  <conditionalFormatting sqref="J148:N148">
    <cfRule type="colorScale" priority="8">
      <colorScale>
        <cfvo type="min"/>
        <cfvo type="percentile" val="50"/>
        <cfvo type="max"/>
        <color rgb="FFF8696B"/>
        <color rgb="FFFFEB84"/>
        <color rgb="FF63BE7B"/>
      </colorScale>
    </cfRule>
  </conditionalFormatting>
  <conditionalFormatting sqref="O148">
    <cfRule type="colorScale" priority="7">
      <colorScale>
        <cfvo type="min"/>
        <cfvo type="percentile" val="50"/>
        <cfvo type="max"/>
        <color rgb="FFF8696B"/>
        <color rgb="FFFFEB84"/>
        <color rgb="FF63BE7B"/>
      </colorScale>
    </cfRule>
  </conditionalFormatting>
  <conditionalFormatting sqref="E218:I218">
    <cfRule type="colorScale" priority="6">
      <colorScale>
        <cfvo type="min"/>
        <cfvo type="percentile" val="50"/>
        <cfvo type="max"/>
        <color rgb="FFF8696B"/>
        <color rgb="FFFFEB84"/>
        <color rgb="FF63BE7B"/>
      </colorScale>
    </cfRule>
  </conditionalFormatting>
  <conditionalFormatting sqref="J218:N218">
    <cfRule type="colorScale" priority="5">
      <colorScale>
        <cfvo type="min"/>
        <cfvo type="percentile" val="50"/>
        <cfvo type="max"/>
        <color rgb="FFF8696B"/>
        <color rgb="FFFFEB84"/>
        <color rgb="FF63BE7B"/>
      </colorScale>
    </cfRule>
  </conditionalFormatting>
  <conditionalFormatting sqref="O218">
    <cfRule type="colorScale" priority="4">
      <colorScale>
        <cfvo type="min"/>
        <cfvo type="percentile" val="50"/>
        <cfvo type="max"/>
        <color rgb="FFF8696B"/>
        <color rgb="FFFFEB84"/>
        <color rgb="FF63BE7B"/>
      </colorScale>
    </cfRule>
  </conditionalFormatting>
  <conditionalFormatting sqref="E288:I288">
    <cfRule type="colorScale" priority="3">
      <colorScale>
        <cfvo type="min"/>
        <cfvo type="percentile" val="50"/>
        <cfvo type="max"/>
        <color rgb="FFF8696B"/>
        <color rgb="FFFFEB84"/>
        <color rgb="FF63BE7B"/>
      </colorScale>
    </cfRule>
  </conditionalFormatting>
  <conditionalFormatting sqref="J288:N288">
    <cfRule type="colorScale" priority="2">
      <colorScale>
        <cfvo type="min"/>
        <cfvo type="percentile" val="50"/>
        <cfvo type="max"/>
        <color rgb="FFF8696B"/>
        <color rgb="FFFFEB84"/>
        <color rgb="FF63BE7B"/>
      </colorScale>
    </cfRule>
  </conditionalFormatting>
  <conditionalFormatting sqref="O288">
    <cfRule type="colorScale" priority="1">
      <colorScale>
        <cfvo type="min"/>
        <cfvo type="percentile" val="50"/>
        <cfvo type="max"/>
        <color rgb="FFF8696B"/>
        <color rgb="FFFFEB84"/>
        <color rgb="FF63BE7B"/>
      </colorScale>
    </cfRule>
  </conditionalFormatting>
  <dataValidations disablePrompts="1" count="4">
    <dataValidation type="list" errorStyle="warning" allowBlank="1" showDropDown="1" showInputMessage="1" showErrorMessage="1" errorTitle="Length of Contract" error="A 2 round length of contract (50% deferred, 50% recognized in-round) is highly recommended due to:_x000a__x000a_-3 round simulations are not conducive to contract lengths &gt;2_x000a__x000a_-Contract lengths &gt; 2 will require additional balancing" sqref="E16 E85 E155 E225 E295">
      <formula1>"2"</formula1>
    </dataValidation>
    <dataValidation type="list" errorStyle="warning" allowBlank="1" showDropDown="1" showInputMessage="1" showErrorMessage="1" errorTitle="Quarters per Round - ARR" error="Maintaining 4 quarters per round is highly recommended for ARR-type balancing." sqref="E18 E87 E157 E227 E297">
      <formula1>"4"</formula1>
    </dataValidation>
    <dataValidation type="list" allowBlank="1" showInputMessage="1" showErrorMessage="1" sqref="C8 C78 C147 C217 C287">
      <formula1>"SW - Deferral, SW - Recurring Revenue, Insurance"</formula1>
    </dataValidation>
    <dataValidation type="list" allowBlank="1" showInputMessage="1" showErrorMessage="1" sqref="C10 C80 C149 C219 C289">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2369" r:id="rId3" name="Button 1">
              <controlPr defaultSize="0" print="0" autoFill="0" autoPict="0" macro="[0]!mmSubSetup">
                <anchor moveWithCells="1" sizeWithCells="1">
                  <from>
                    <xdr:col>5</xdr:col>
                    <xdr:colOff>106680</xdr:colOff>
                    <xdr:row>7</xdr:row>
                    <xdr:rowOff>22860</xdr:rowOff>
                  </from>
                  <to>
                    <xdr:col>6</xdr:col>
                    <xdr:colOff>693420</xdr:colOff>
                    <xdr:row>9</xdr:row>
                    <xdr:rowOff>99060</xdr:rowOff>
                  </to>
                </anchor>
              </controlPr>
            </control>
          </mc:Choice>
        </mc:AlternateContent>
        <mc:AlternateContent xmlns:mc="http://schemas.openxmlformats.org/markup-compatibility/2006">
          <mc:Choice Requires="x14">
            <control shapeId="442370" r:id="rId4" name="Button 2">
              <controlPr defaultSize="0" print="0" autoFill="0" autoPict="0" macro="[0]!mmSubSetup">
                <anchor moveWithCells="1" sizeWithCells="1">
                  <from>
                    <xdr:col>10</xdr:col>
                    <xdr:colOff>106680</xdr:colOff>
                    <xdr:row>7</xdr:row>
                    <xdr:rowOff>22860</xdr:rowOff>
                  </from>
                  <to>
                    <xdr:col>11</xdr:col>
                    <xdr:colOff>693420</xdr:colOff>
                    <xdr:row>9</xdr:row>
                    <xdr:rowOff>99060</xdr:rowOff>
                  </to>
                </anchor>
              </controlPr>
            </control>
          </mc:Choice>
        </mc:AlternateContent>
        <mc:AlternateContent xmlns:mc="http://schemas.openxmlformats.org/markup-compatibility/2006">
          <mc:Choice Requires="x14">
            <control shapeId="442371" r:id="rId5" name="Button 3">
              <controlPr defaultSize="0" print="0" autoFill="0" autoPict="0" macro="[0]!mmSubSetup">
                <anchor moveWithCells="1" sizeWithCells="1">
                  <from>
                    <xdr:col>5</xdr:col>
                    <xdr:colOff>106680</xdr:colOff>
                    <xdr:row>7</xdr:row>
                    <xdr:rowOff>22860</xdr:rowOff>
                  </from>
                  <to>
                    <xdr:col>6</xdr:col>
                    <xdr:colOff>693420</xdr:colOff>
                    <xdr:row>9</xdr:row>
                    <xdr:rowOff>99060</xdr:rowOff>
                  </to>
                </anchor>
              </controlPr>
            </control>
          </mc:Choice>
        </mc:AlternateContent>
        <mc:AlternateContent xmlns:mc="http://schemas.openxmlformats.org/markup-compatibility/2006">
          <mc:Choice Requires="x14">
            <control shapeId="442372" r:id="rId6" name="Button 4">
              <controlPr defaultSize="0" print="0" autoFill="0" autoPict="0" macro="[0]!mmSubSetup">
                <anchor moveWithCells="1" sizeWithCells="1">
                  <from>
                    <xdr:col>10</xdr:col>
                    <xdr:colOff>106680</xdr:colOff>
                    <xdr:row>7</xdr:row>
                    <xdr:rowOff>22860</xdr:rowOff>
                  </from>
                  <to>
                    <xdr:col>11</xdr:col>
                    <xdr:colOff>693420</xdr:colOff>
                    <xdr:row>9</xdr:row>
                    <xdr:rowOff>99060</xdr:rowOff>
                  </to>
                </anchor>
              </controlPr>
            </control>
          </mc:Choice>
        </mc:AlternateContent>
        <mc:AlternateContent xmlns:mc="http://schemas.openxmlformats.org/markup-compatibility/2006">
          <mc:Choice Requires="x14">
            <control shapeId="442373" r:id="rId7" name="Button 5">
              <controlPr defaultSize="0" print="0" autoFill="0" autoPict="0" macro="[0]!mmSubSetup">
                <anchor moveWithCells="1" sizeWithCells="1">
                  <from>
                    <xdr:col>5</xdr:col>
                    <xdr:colOff>106680</xdr:colOff>
                    <xdr:row>77</xdr:row>
                    <xdr:rowOff>22860</xdr:rowOff>
                  </from>
                  <to>
                    <xdr:col>6</xdr:col>
                    <xdr:colOff>693420</xdr:colOff>
                    <xdr:row>79</xdr:row>
                    <xdr:rowOff>99060</xdr:rowOff>
                  </to>
                </anchor>
              </controlPr>
            </control>
          </mc:Choice>
        </mc:AlternateContent>
        <mc:AlternateContent xmlns:mc="http://schemas.openxmlformats.org/markup-compatibility/2006">
          <mc:Choice Requires="x14">
            <control shapeId="442374" r:id="rId8" name="Button 6">
              <controlPr defaultSize="0" print="0" autoFill="0" autoPict="0" macro="[0]!mmSubSetup">
                <anchor moveWithCells="1" sizeWithCells="1">
                  <from>
                    <xdr:col>10</xdr:col>
                    <xdr:colOff>106680</xdr:colOff>
                    <xdr:row>77</xdr:row>
                    <xdr:rowOff>22860</xdr:rowOff>
                  </from>
                  <to>
                    <xdr:col>11</xdr:col>
                    <xdr:colOff>693420</xdr:colOff>
                    <xdr:row>79</xdr:row>
                    <xdr:rowOff>99060</xdr:rowOff>
                  </to>
                </anchor>
              </controlPr>
            </control>
          </mc:Choice>
        </mc:AlternateContent>
        <mc:AlternateContent xmlns:mc="http://schemas.openxmlformats.org/markup-compatibility/2006">
          <mc:Choice Requires="x14">
            <control shapeId="442375" r:id="rId9" name="Button 7">
              <controlPr defaultSize="0" print="0" autoFill="0" autoPict="0" macro="[0]!mmSubSetup">
                <anchor moveWithCells="1" sizeWithCells="1">
                  <from>
                    <xdr:col>5</xdr:col>
                    <xdr:colOff>106680</xdr:colOff>
                    <xdr:row>77</xdr:row>
                    <xdr:rowOff>22860</xdr:rowOff>
                  </from>
                  <to>
                    <xdr:col>6</xdr:col>
                    <xdr:colOff>693420</xdr:colOff>
                    <xdr:row>79</xdr:row>
                    <xdr:rowOff>99060</xdr:rowOff>
                  </to>
                </anchor>
              </controlPr>
            </control>
          </mc:Choice>
        </mc:AlternateContent>
        <mc:AlternateContent xmlns:mc="http://schemas.openxmlformats.org/markup-compatibility/2006">
          <mc:Choice Requires="x14">
            <control shapeId="442376" r:id="rId10" name="Button 8">
              <controlPr defaultSize="0" print="0" autoFill="0" autoPict="0" macro="[0]!mmSubSetup">
                <anchor moveWithCells="1" sizeWithCells="1">
                  <from>
                    <xdr:col>10</xdr:col>
                    <xdr:colOff>106680</xdr:colOff>
                    <xdr:row>77</xdr:row>
                    <xdr:rowOff>22860</xdr:rowOff>
                  </from>
                  <to>
                    <xdr:col>11</xdr:col>
                    <xdr:colOff>693420</xdr:colOff>
                    <xdr:row>79</xdr:row>
                    <xdr:rowOff>99060</xdr:rowOff>
                  </to>
                </anchor>
              </controlPr>
            </control>
          </mc:Choice>
        </mc:AlternateContent>
        <mc:AlternateContent xmlns:mc="http://schemas.openxmlformats.org/markup-compatibility/2006">
          <mc:Choice Requires="x14">
            <control shapeId="442377" r:id="rId11" name="Button 9">
              <controlPr defaultSize="0" print="0" autoFill="0" autoPict="0" macro="[0]!mmSubSetup">
                <anchor moveWithCells="1" sizeWithCells="1">
                  <from>
                    <xdr:col>5</xdr:col>
                    <xdr:colOff>106680</xdr:colOff>
                    <xdr:row>77</xdr:row>
                    <xdr:rowOff>22860</xdr:rowOff>
                  </from>
                  <to>
                    <xdr:col>6</xdr:col>
                    <xdr:colOff>693420</xdr:colOff>
                    <xdr:row>79</xdr:row>
                    <xdr:rowOff>99060</xdr:rowOff>
                  </to>
                </anchor>
              </controlPr>
            </control>
          </mc:Choice>
        </mc:AlternateContent>
        <mc:AlternateContent xmlns:mc="http://schemas.openxmlformats.org/markup-compatibility/2006">
          <mc:Choice Requires="x14">
            <control shapeId="442378" r:id="rId12" name="Button 10">
              <controlPr defaultSize="0" print="0" autoFill="0" autoPict="0" macro="[0]!mmSubSetup">
                <anchor moveWithCells="1" sizeWithCells="1">
                  <from>
                    <xdr:col>10</xdr:col>
                    <xdr:colOff>106680</xdr:colOff>
                    <xdr:row>77</xdr:row>
                    <xdr:rowOff>22860</xdr:rowOff>
                  </from>
                  <to>
                    <xdr:col>11</xdr:col>
                    <xdr:colOff>693420</xdr:colOff>
                    <xdr:row>79</xdr:row>
                    <xdr:rowOff>99060</xdr:rowOff>
                  </to>
                </anchor>
              </controlPr>
            </control>
          </mc:Choice>
        </mc:AlternateContent>
        <mc:AlternateContent xmlns:mc="http://schemas.openxmlformats.org/markup-compatibility/2006">
          <mc:Choice Requires="x14">
            <control shapeId="442379" r:id="rId13" name="Button 11">
              <controlPr defaultSize="0" print="0" autoFill="0" autoPict="0" macro="[0]!mmSubSetup">
                <anchor moveWithCells="1" sizeWithCells="1">
                  <from>
                    <xdr:col>5</xdr:col>
                    <xdr:colOff>106680</xdr:colOff>
                    <xdr:row>77</xdr:row>
                    <xdr:rowOff>22860</xdr:rowOff>
                  </from>
                  <to>
                    <xdr:col>6</xdr:col>
                    <xdr:colOff>693420</xdr:colOff>
                    <xdr:row>79</xdr:row>
                    <xdr:rowOff>99060</xdr:rowOff>
                  </to>
                </anchor>
              </controlPr>
            </control>
          </mc:Choice>
        </mc:AlternateContent>
        <mc:AlternateContent xmlns:mc="http://schemas.openxmlformats.org/markup-compatibility/2006">
          <mc:Choice Requires="x14">
            <control shapeId="442380" r:id="rId14" name="Button 12">
              <controlPr defaultSize="0" print="0" autoFill="0" autoPict="0" macro="[0]!mmSubSetup">
                <anchor moveWithCells="1" sizeWithCells="1">
                  <from>
                    <xdr:col>10</xdr:col>
                    <xdr:colOff>106680</xdr:colOff>
                    <xdr:row>77</xdr:row>
                    <xdr:rowOff>22860</xdr:rowOff>
                  </from>
                  <to>
                    <xdr:col>11</xdr:col>
                    <xdr:colOff>693420</xdr:colOff>
                    <xdr:row>79</xdr:row>
                    <xdr:rowOff>99060</xdr:rowOff>
                  </to>
                </anchor>
              </controlPr>
            </control>
          </mc:Choice>
        </mc:AlternateContent>
        <mc:AlternateContent xmlns:mc="http://schemas.openxmlformats.org/markup-compatibility/2006">
          <mc:Choice Requires="x14">
            <control shapeId="442381" r:id="rId15" name="Button 13">
              <controlPr defaultSize="0" print="0" autoFill="0" autoPict="0" macro="[0]!mmSubSetup">
                <anchor moveWithCells="1" sizeWithCells="1">
                  <from>
                    <xdr:col>5</xdr:col>
                    <xdr:colOff>106680</xdr:colOff>
                    <xdr:row>77</xdr:row>
                    <xdr:rowOff>22860</xdr:rowOff>
                  </from>
                  <to>
                    <xdr:col>6</xdr:col>
                    <xdr:colOff>693420</xdr:colOff>
                    <xdr:row>79</xdr:row>
                    <xdr:rowOff>99060</xdr:rowOff>
                  </to>
                </anchor>
              </controlPr>
            </control>
          </mc:Choice>
        </mc:AlternateContent>
        <mc:AlternateContent xmlns:mc="http://schemas.openxmlformats.org/markup-compatibility/2006">
          <mc:Choice Requires="x14">
            <control shapeId="442382" r:id="rId16" name="Button 14">
              <controlPr defaultSize="0" print="0" autoFill="0" autoPict="0" macro="[0]!mmSubSetup">
                <anchor moveWithCells="1" sizeWithCells="1">
                  <from>
                    <xdr:col>10</xdr:col>
                    <xdr:colOff>106680</xdr:colOff>
                    <xdr:row>77</xdr:row>
                    <xdr:rowOff>22860</xdr:rowOff>
                  </from>
                  <to>
                    <xdr:col>11</xdr:col>
                    <xdr:colOff>693420</xdr:colOff>
                    <xdr:row>79</xdr:row>
                    <xdr:rowOff>99060</xdr:rowOff>
                  </to>
                </anchor>
              </controlPr>
            </control>
          </mc:Choice>
        </mc:AlternateContent>
        <mc:AlternateContent xmlns:mc="http://schemas.openxmlformats.org/markup-compatibility/2006">
          <mc:Choice Requires="x14">
            <control shapeId="442383" r:id="rId17" name="Button 15">
              <controlPr defaultSize="0" print="0" autoFill="0" autoPict="0" macro="[0]!mmSubSetup">
                <anchor moveWithCells="1" sizeWithCells="1">
                  <from>
                    <xdr:col>5</xdr:col>
                    <xdr:colOff>106680</xdr:colOff>
                    <xdr:row>146</xdr:row>
                    <xdr:rowOff>22860</xdr:rowOff>
                  </from>
                  <to>
                    <xdr:col>6</xdr:col>
                    <xdr:colOff>693420</xdr:colOff>
                    <xdr:row>148</xdr:row>
                    <xdr:rowOff>99060</xdr:rowOff>
                  </to>
                </anchor>
              </controlPr>
            </control>
          </mc:Choice>
        </mc:AlternateContent>
        <mc:AlternateContent xmlns:mc="http://schemas.openxmlformats.org/markup-compatibility/2006">
          <mc:Choice Requires="x14">
            <control shapeId="442384" r:id="rId18" name="Button 16">
              <controlPr defaultSize="0" print="0" autoFill="0" autoPict="0" macro="[0]!mmSubSetup">
                <anchor moveWithCells="1" sizeWithCells="1">
                  <from>
                    <xdr:col>10</xdr:col>
                    <xdr:colOff>106680</xdr:colOff>
                    <xdr:row>146</xdr:row>
                    <xdr:rowOff>22860</xdr:rowOff>
                  </from>
                  <to>
                    <xdr:col>11</xdr:col>
                    <xdr:colOff>693420</xdr:colOff>
                    <xdr:row>148</xdr:row>
                    <xdr:rowOff>99060</xdr:rowOff>
                  </to>
                </anchor>
              </controlPr>
            </control>
          </mc:Choice>
        </mc:AlternateContent>
        <mc:AlternateContent xmlns:mc="http://schemas.openxmlformats.org/markup-compatibility/2006">
          <mc:Choice Requires="x14">
            <control shapeId="442385" r:id="rId19" name="Button 17">
              <controlPr defaultSize="0" print="0" autoFill="0" autoPict="0" macro="[0]!mmSubSetup">
                <anchor moveWithCells="1" sizeWithCells="1">
                  <from>
                    <xdr:col>5</xdr:col>
                    <xdr:colOff>106680</xdr:colOff>
                    <xdr:row>146</xdr:row>
                    <xdr:rowOff>22860</xdr:rowOff>
                  </from>
                  <to>
                    <xdr:col>6</xdr:col>
                    <xdr:colOff>693420</xdr:colOff>
                    <xdr:row>148</xdr:row>
                    <xdr:rowOff>99060</xdr:rowOff>
                  </to>
                </anchor>
              </controlPr>
            </control>
          </mc:Choice>
        </mc:AlternateContent>
        <mc:AlternateContent xmlns:mc="http://schemas.openxmlformats.org/markup-compatibility/2006">
          <mc:Choice Requires="x14">
            <control shapeId="442386" r:id="rId20" name="Button 18">
              <controlPr defaultSize="0" print="0" autoFill="0" autoPict="0" macro="[0]!mmSubSetup">
                <anchor moveWithCells="1" sizeWithCells="1">
                  <from>
                    <xdr:col>10</xdr:col>
                    <xdr:colOff>106680</xdr:colOff>
                    <xdr:row>146</xdr:row>
                    <xdr:rowOff>22860</xdr:rowOff>
                  </from>
                  <to>
                    <xdr:col>11</xdr:col>
                    <xdr:colOff>693420</xdr:colOff>
                    <xdr:row>148</xdr:row>
                    <xdr:rowOff>99060</xdr:rowOff>
                  </to>
                </anchor>
              </controlPr>
            </control>
          </mc:Choice>
        </mc:AlternateContent>
        <mc:AlternateContent xmlns:mc="http://schemas.openxmlformats.org/markup-compatibility/2006">
          <mc:Choice Requires="x14">
            <control shapeId="442387" r:id="rId21" name="Button 19">
              <controlPr defaultSize="0" print="0" autoFill="0" autoPict="0" macro="[0]!mmSubSetup">
                <anchor moveWithCells="1" sizeWithCells="1">
                  <from>
                    <xdr:col>5</xdr:col>
                    <xdr:colOff>106680</xdr:colOff>
                    <xdr:row>146</xdr:row>
                    <xdr:rowOff>22860</xdr:rowOff>
                  </from>
                  <to>
                    <xdr:col>6</xdr:col>
                    <xdr:colOff>693420</xdr:colOff>
                    <xdr:row>148</xdr:row>
                    <xdr:rowOff>99060</xdr:rowOff>
                  </to>
                </anchor>
              </controlPr>
            </control>
          </mc:Choice>
        </mc:AlternateContent>
        <mc:AlternateContent xmlns:mc="http://schemas.openxmlformats.org/markup-compatibility/2006">
          <mc:Choice Requires="x14">
            <control shapeId="442388" r:id="rId22" name="Button 20">
              <controlPr defaultSize="0" print="0" autoFill="0" autoPict="0" macro="[0]!mmSubSetup">
                <anchor moveWithCells="1" sizeWithCells="1">
                  <from>
                    <xdr:col>10</xdr:col>
                    <xdr:colOff>106680</xdr:colOff>
                    <xdr:row>146</xdr:row>
                    <xdr:rowOff>22860</xdr:rowOff>
                  </from>
                  <to>
                    <xdr:col>11</xdr:col>
                    <xdr:colOff>693420</xdr:colOff>
                    <xdr:row>148</xdr:row>
                    <xdr:rowOff>99060</xdr:rowOff>
                  </to>
                </anchor>
              </controlPr>
            </control>
          </mc:Choice>
        </mc:AlternateContent>
        <mc:AlternateContent xmlns:mc="http://schemas.openxmlformats.org/markup-compatibility/2006">
          <mc:Choice Requires="x14">
            <control shapeId="442389" r:id="rId23" name="Button 21">
              <controlPr defaultSize="0" print="0" autoFill="0" autoPict="0" macro="[0]!mmSubSetup">
                <anchor moveWithCells="1" sizeWithCells="1">
                  <from>
                    <xdr:col>5</xdr:col>
                    <xdr:colOff>106680</xdr:colOff>
                    <xdr:row>146</xdr:row>
                    <xdr:rowOff>22860</xdr:rowOff>
                  </from>
                  <to>
                    <xdr:col>6</xdr:col>
                    <xdr:colOff>693420</xdr:colOff>
                    <xdr:row>148</xdr:row>
                    <xdr:rowOff>99060</xdr:rowOff>
                  </to>
                </anchor>
              </controlPr>
            </control>
          </mc:Choice>
        </mc:AlternateContent>
        <mc:AlternateContent xmlns:mc="http://schemas.openxmlformats.org/markup-compatibility/2006">
          <mc:Choice Requires="x14">
            <control shapeId="442390" r:id="rId24" name="Button 22">
              <controlPr defaultSize="0" print="0" autoFill="0" autoPict="0" macro="[0]!mmSubSetup">
                <anchor moveWithCells="1" sizeWithCells="1">
                  <from>
                    <xdr:col>10</xdr:col>
                    <xdr:colOff>106680</xdr:colOff>
                    <xdr:row>146</xdr:row>
                    <xdr:rowOff>22860</xdr:rowOff>
                  </from>
                  <to>
                    <xdr:col>11</xdr:col>
                    <xdr:colOff>693420</xdr:colOff>
                    <xdr:row>148</xdr:row>
                    <xdr:rowOff>99060</xdr:rowOff>
                  </to>
                </anchor>
              </controlPr>
            </control>
          </mc:Choice>
        </mc:AlternateContent>
        <mc:AlternateContent xmlns:mc="http://schemas.openxmlformats.org/markup-compatibility/2006">
          <mc:Choice Requires="x14">
            <control shapeId="442391" r:id="rId25" name="Button 23">
              <controlPr defaultSize="0" print="0" autoFill="0" autoPict="0" macro="[0]!mmSubSetup">
                <anchor moveWithCells="1" sizeWithCells="1">
                  <from>
                    <xdr:col>5</xdr:col>
                    <xdr:colOff>106680</xdr:colOff>
                    <xdr:row>146</xdr:row>
                    <xdr:rowOff>22860</xdr:rowOff>
                  </from>
                  <to>
                    <xdr:col>6</xdr:col>
                    <xdr:colOff>693420</xdr:colOff>
                    <xdr:row>148</xdr:row>
                    <xdr:rowOff>99060</xdr:rowOff>
                  </to>
                </anchor>
              </controlPr>
            </control>
          </mc:Choice>
        </mc:AlternateContent>
        <mc:AlternateContent xmlns:mc="http://schemas.openxmlformats.org/markup-compatibility/2006">
          <mc:Choice Requires="x14">
            <control shapeId="442392" r:id="rId26" name="Button 24">
              <controlPr defaultSize="0" print="0" autoFill="0" autoPict="0" macro="[0]!mmSubSetup">
                <anchor moveWithCells="1" sizeWithCells="1">
                  <from>
                    <xdr:col>10</xdr:col>
                    <xdr:colOff>106680</xdr:colOff>
                    <xdr:row>146</xdr:row>
                    <xdr:rowOff>22860</xdr:rowOff>
                  </from>
                  <to>
                    <xdr:col>11</xdr:col>
                    <xdr:colOff>693420</xdr:colOff>
                    <xdr:row>148</xdr:row>
                    <xdr:rowOff>99060</xdr:rowOff>
                  </to>
                </anchor>
              </controlPr>
            </control>
          </mc:Choice>
        </mc:AlternateContent>
        <mc:AlternateContent xmlns:mc="http://schemas.openxmlformats.org/markup-compatibility/2006">
          <mc:Choice Requires="x14">
            <control shapeId="442393" r:id="rId27" name="Button 25">
              <controlPr defaultSize="0" print="0" autoFill="0" autoPict="0" macro="[0]!mmSubSetup">
                <anchor moveWithCells="1" sizeWithCells="1">
                  <from>
                    <xdr:col>5</xdr:col>
                    <xdr:colOff>106680</xdr:colOff>
                    <xdr:row>216</xdr:row>
                    <xdr:rowOff>22860</xdr:rowOff>
                  </from>
                  <to>
                    <xdr:col>6</xdr:col>
                    <xdr:colOff>693420</xdr:colOff>
                    <xdr:row>218</xdr:row>
                    <xdr:rowOff>99060</xdr:rowOff>
                  </to>
                </anchor>
              </controlPr>
            </control>
          </mc:Choice>
        </mc:AlternateContent>
        <mc:AlternateContent xmlns:mc="http://schemas.openxmlformats.org/markup-compatibility/2006">
          <mc:Choice Requires="x14">
            <control shapeId="442394" r:id="rId28" name="Button 26">
              <controlPr defaultSize="0" print="0" autoFill="0" autoPict="0" macro="[0]!mmSubSetup">
                <anchor moveWithCells="1" sizeWithCells="1">
                  <from>
                    <xdr:col>10</xdr:col>
                    <xdr:colOff>106680</xdr:colOff>
                    <xdr:row>216</xdr:row>
                    <xdr:rowOff>22860</xdr:rowOff>
                  </from>
                  <to>
                    <xdr:col>11</xdr:col>
                    <xdr:colOff>693420</xdr:colOff>
                    <xdr:row>218</xdr:row>
                    <xdr:rowOff>99060</xdr:rowOff>
                  </to>
                </anchor>
              </controlPr>
            </control>
          </mc:Choice>
        </mc:AlternateContent>
        <mc:AlternateContent xmlns:mc="http://schemas.openxmlformats.org/markup-compatibility/2006">
          <mc:Choice Requires="x14">
            <control shapeId="442395" r:id="rId29" name="Button 27">
              <controlPr defaultSize="0" print="0" autoFill="0" autoPict="0" macro="[0]!mmSubSetup">
                <anchor moveWithCells="1" sizeWithCells="1">
                  <from>
                    <xdr:col>5</xdr:col>
                    <xdr:colOff>106680</xdr:colOff>
                    <xdr:row>286</xdr:row>
                    <xdr:rowOff>22860</xdr:rowOff>
                  </from>
                  <to>
                    <xdr:col>6</xdr:col>
                    <xdr:colOff>693420</xdr:colOff>
                    <xdr:row>288</xdr:row>
                    <xdr:rowOff>99060</xdr:rowOff>
                  </to>
                </anchor>
              </controlPr>
            </control>
          </mc:Choice>
        </mc:AlternateContent>
        <mc:AlternateContent xmlns:mc="http://schemas.openxmlformats.org/markup-compatibility/2006">
          <mc:Choice Requires="x14">
            <control shapeId="442396" r:id="rId30" name="Button 28">
              <controlPr defaultSize="0" print="0" autoFill="0" autoPict="0" macro="[0]!mmSubSetup">
                <anchor moveWithCells="1" sizeWithCells="1">
                  <from>
                    <xdr:col>10</xdr:col>
                    <xdr:colOff>106680</xdr:colOff>
                    <xdr:row>286</xdr:row>
                    <xdr:rowOff>22860</xdr:rowOff>
                  </from>
                  <to>
                    <xdr:col>11</xdr:col>
                    <xdr:colOff>693420</xdr:colOff>
                    <xdr:row>288</xdr:row>
                    <xdr:rowOff>99060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5"/>
  </sheetPr>
  <dimension ref="A1:AA200"/>
  <sheetViews>
    <sheetView workbookViewId="0"/>
  </sheetViews>
  <sheetFormatPr defaultRowHeight="13.8"/>
  <cols>
    <col min="1" max="1" width="7.1796875" customWidth="1"/>
    <col min="2" max="2" width="30.1796875" customWidth="1"/>
    <col min="3" max="3" width="19.6328125" style="1076" customWidth="1"/>
    <col min="4" max="4" width="13.90625" style="1082" customWidth="1"/>
    <col min="5" max="5" width="13.90625" customWidth="1"/>
    <col min="6" max="6" width="14.7265625" customWidth="1"/>
    <col min="7" max="7" width="14.36328125" customWidth="1"/>
    <col min="8" max="8" width="13.90625" customWidth="1"/>
    <col min="9" max="9" width="14.7265625" customWidth="1"/>
    <col min="10" max="10" width="14.36328125" customWidth="1"/>
    <col min="11" max="11" width="13.90625" customWidth="1"/>
    <col min="12" max="12" width="14.7265625" customWidth="1"/>
    <col min="13" max="14" width="14.36328125" customWidth="1"/>
    <col min="15" max="15" width="15.08984375" customWidth="1"/>
    <col min="16" max="16" width="20.1796875" style="845" customWidth="1"/>
    <col min="18" max="21" width="19.81640625" customWidth="1"/>
  </cols>
  <sheetData>
    <row r="1" spans="1:21" s="874" customFormat="1" ht="16.2">
      <c r="A1" s="873" t="s">
        <v>2656</v>
      </c>
      <c r="B1" s="873"/>
      <c r="C1" s="1072"/>
      <c r="D1" s="1078"/>
      <c r="E1" s="874" t="s">
        <v>7</v>
      </c>
      <c r="F1" s="874" t="s">
        <v>8</v>
      </c>
      <c r="G1" s="874" t="s">
        <v>9</v>
      </c>
      <c r="H1" s="874" t="s">
        <v>10</v>
      </c>
      <c r="I1" s="874" t="s">
        <v>11</v>
      </c>
      <c r="J1" s="874" t="s">
        <v>744</v>
      </c>
      <c r="K1" s="874" t="s">
        <v>745</v>
      </c>
      <c r="L1" s="874" t="s">
        <v>746</v>
      </c>
      <c r="M1" s="874" t="s">
        <v>747</v>
      </c>
      <c r="N1" s="874" t="s">
        <v>748</v>
      </c>
      <c r="O1" s="874" t="s">
        <v>749</v>
      </c>
      <c r="P1" s="875"/>
      <c r="Q1" s="875"/>
      <c r="R1" s="875"/>
      <c r="S1" s="875"/>
      <c r="U1" s="873"/>
    </row>
    <row r="2" spans="1:21" s="874" customFormat="1" ht="16.2">
      <c r="A2" s="876" t="s">
        <v>2630</v>
      </c>
      <c r="B2" s="873"/>
      <c r="C2" s="1072"/>
      <c r="D2" s="1078"/>
      <c r="E2" s="874" t="b">
        <f>xxNumOfTeams&gt;0</f>
        <v>1</v>
      </c>
      <c r="F2" s="874" t="b">
        <f>xxNumOfTeams&gt;1</f>
        <v>1</v>
      </c>
      <c r="G2" s="874" t="b">
        <f>xxNumOfTeams&gt;2</f>
        <v>1</v>
      </c>
      <c r="H2" s="874" t="b">
        <f>xxNumOfTeams&gt;3</f>
        <v>1</v>
      </c>
      <c r="I2" s="874" t="b">
        <f>xxNumOfTeams&gt;4</f>
        <v>1</v>
      </c>
      <c r="J2" s="874" t="b">
        <f>xxNumOfTeams&gt;5</f>
        <v>1</v>
      </c>
      <c r="K2" s="874" t="b">
        <f>xxNumOfTeams&gt;6</f>
        <v>1</v>
      </c>
      <c r="L2" s="874" t="b">
        <f>xxNumOfTeams&gt;7</f>
        <v>1</v>
      </c>
      <c r="M2" s="874" t="b">
        <f>xxNumOfTeams&gt;8</f>
        <v>1</v>
      </c>
      <c r="N2" s="874" t="b">
        <f>xxNumOfTeams&gt;9</f>
        <v>1</v>
      </c>
      <c r="O2" s="874" t="b">
        <v>1</v>
      </c>
      <c r="P2" s="873" t="s">
        <v>2655</v>
      </c>
      <c r="Q2" s="875"/>
      <c r="R2" s="875"/>
      <c r="S2" s="875"/>
      <c r="U2" s="873"/>
    </row>
    <row r="3" spans="1:21" s="867" customFormat="1">
      <c r="A3" s="867" t="str">
        <f>nmProd1&amp;" Subscriptions"</f>
        <v>Productivity &amp; Business Subscriptions</v>
      </c>
      <c r="C3" s="1073"/>
      <c r="D3" s="1079"/>
      <c r="P3" s="868"/>
      <c r="R3" s="869" t="s">
        <v>765</v>
      </c>
      <c r="S3" s="869" t="s">
        <v>764</v>
      </c>
      <c r="T3" s="869" t="s">
        <v>763</v>
      </c>
      <c r="U3" s="869" t="s">
        <v>762</v>
      </c>
    </row>
    <row r="4" spans="1:21" s="19" customFormat="1">
      <c r="C4" s="937"/>
      <c r="D4" s="1080"/>
      <c r="P4" s="845"/>
    </row>
    <row r="5" spans="1:21" s="861" customFormat="1" ht="41.4" customHeight="1">
      <c r="B5" s="861" t="s">
        <v>2434</v>
      </c>
      <c r="C5" s="936" t="s">
        <v>2435</v>
      </c>
      <c r="D5" s="1081" t="s">
        <v>2898</v>
      </c>
      <c r="E5" s="861" t="str">
        <f t="shared" ref="E5:N5" si="0">decTeamName</f>
        <v>Nimbolt</v>
      </c>
      <c r="F5" s="861" t="str">
        <f t="shared" si="0"/>
        <v>Nimbolt</v>
      </c>
      <c r="G5" s="861" t="str">
        <f t="shared" si="0"/>
        <v>Nimbolt</v>
      </c>
      <c r="H5" s="861" t="str">
        <f t="shared" si="0"/>
        <v>Nimbolt</v>
      </c>
      <c r="I5" s="861" t="str">
        <f t="shared" si="0"/>
        <v>Nimbolt</v>
      </c>
      <c r="J5" s="861" t="str">
        <f t="shared" si="0"/>
        <v>Nimbolt</v>
      </c>
      <c r="K5" s="861" t="str">
        <f t="shared" si="0"/>
        <v>Nimbolt</v>
      </c>
      <c r="L5" s="861" t="str">
        <f t="shared" si="0"/>
        <v>Nimbolt</v>
      </c>
      <c r="M5" s="861" t="str">
        <f t="shared" si="0"/>
        <v>Nimbolt</v>
      </c>
      <c r="N5" s="861" t="str">
        <f t="shared" si="0"/>
        <v>Nimbolt</v>
      </c>
      <c r="O5" s="863" t="s">
        <v>749</v>
      </c>
      <c r="P5" s="864"/>
      <c r="R5" s="862" t="s">
        <v>2435</v>
      </c>
      <c r="S5" s="862" t="s">
        <v>2435</v>
      </c>
      <c r="T5" s="862" t="s">
        <v>2435</v>
      </c>
      <c r="U5" s="862" t="s">
        <v>2435</v>
      </c>
    </row>
    <row r="6" spans="1:21" s="19" customFormat="1">
      <c r="B6" s="845" t="str">
        <f>nmProd1Seg1</f>
        <v>Productivity &amp; Business Enterprise</v>
      </c>
      <c r="C6" s="1075">
        <f>CHOOSE(xxRound+1,R6,S6,T6,U6)</f>
        <v>0.75</v>
      </c>
      <c r="D6" s="1074">
        <f>AVERAGE(E6:G6)</f>
        <v>5277134.7351524867</v>
      </c>
      <c r="E6" s="1068">
        <f t="shared" ref="E6:N6" si="1">obalProd1Seg1TotalSubs</f>
        <v>5277134.7351524867</v>
      </c>
      <c r="F6" s="1068">
        <f t="shared" si="1"/>
        <v>5277134.7351524867</v>
      </c>
      <c r="G6" s="1068">
        <f t="shared" si="1"/>
        <v>5277134.7351524867</v>
      </c>
      <c r="H6" s="1068">
        <f t="shared" si="1"/>
        <v>5277134.7351524867</v>
      </c>
      <c r="I6" s="1068">
        <f t="shared" si="1"/>
        <v>5277134.7351524867</v>
      </c>
      <c r="J6" s="1068">
        <f t="shared" si="1"/>
        <v>5277134.7351524867</v>
      </c>
      <c r="K6" s="1068">
        <f t="shared" si="1"/>
        <v>5277134.7351524867</v>
      </c>
      <c r="L6" s="1068">
        <f t="shared" si="1"/>
        <v>5277134.7351524867</v>
      </c>
      <c r="M6" s="1068">
        <f t="shared" si="1"/>
        <v>5277134.7351524867</v>
      </c>
      <c r="N6" s="1068">
        <f t="shared" si="1"/>
        <v>5277134.7351524867</v>
      </c>
      <c r="O6" s="865">
        <f>ROUND(D6*$C6,0)</f>
        <v>3957851</v>
      </c>
      <c r="P6" s="845" t="s">
        <v>2491</v>
      </c>
      <c r="R6" s="866">
        <v>1</v>
      </c>
      <c r="S6" s="1066">
        <v>0.75</v>
      </c>
      <c r="T6" s="1066">
        <v>0.75</v>
      </c>
      <c r="U6" s="1066">
        <v>0.75</v>
      </c>
    </row>
    <row r="7" spans="1:21" s="19" customFormat="1">
      <c r="B7" s="845" t="str">
        <f>nmProd1Seg2</f>
        <v>Productivity &amp; Business SMC</v>
      </c>
      <c r="C7" s="1075">
        <f>CHOOSE(xxRound+1,R7,S7,T7,U7)</f>
        <v>0.75</v>
      </c>
      <c r="D7" s="1074">
        <f>AVERAGE(E7:G7)</f>
        <v>3207977.8665581774</v>
      </c>
      <c r="E7" s="1068">
        <f t="shared" ref="E7:N7" si="2">obalProd1Seg2TotalSubs</f>
        <v>3207977.8665581774</v>
      </c>
      <c r="F7" s="1068">
        <f t="shared" si="2"/>
        <v>3207977.8665581774</v>
      </c>
      <c r="G7" s="1068">
        <f t="shared" si="2"/>
        <v>3207977.8665581774</v>
      </c>
      <c r="H7" s="1068">
        <f t="shared" si="2"/>
        <v>3207977.8665581774</v>
      </c>
      <c r="I7" s="1068">
        <f t="shared" si="2"/>
        <v>3207977.8665581774</v>
      </c>
      <c r="J7" s="1068">
        <f t="shared" si="2"/>
        <v>3207977.8665581774</v>
      </c>
      <c r="K7" s="1068">
        <f t="shared" si="2"/>
        <v>3207977.8665581774</v>
      </c>
      <c r="L7" s="1068">
        <f t="shared" si="2"/>
        <v>3207977.8665581774</v>
      </c>
      <c r="M7" s="1068">
        <f t="shared" si="2"/>
        <v>3207977.8665581774</v>
      </c>
      <c r="N7" s="1068">
        <f t="shared" si="2"/>
        <v>3207977.8665581774</v>
      </c>
      <c r="O7" s="865">
        <f>ROUND(D7*$C7,0)</f>
        <v>2405983</v>
      </c>
      <c r="P7" s="845" t="s">
        <v>2492</v>
      </c>
      <c r="R7" s="866">
        <v>1</v>
      </c>
      <c r="S7" s="1066">
        <v>0.75</v>
      </c>
      <c r="T7" s="1066">
        <v>0.75</v>
      </c>
      <c r="U7" s="1066">
        <v>0.75</v>
      </c>
    </row>
    <row r="8" spans="1:21" s="19" customFormat="1">
      <c r="B8" s="845" t="str">
        <f>nmProd1Seg3</f>
        <v>Productivity &amp; Business Consumer</v>
      </c>
      <c r="C8" s="1075">
        <f>CHOOSE(xxRound+1,R8,S8,T8,U8)</f>
        <v>0.75</v>
      </c>
      <c r="D8" s="1074">
        <f>AVERAGE(E8:G8)</f>
        <v>8535883.4399999995</v>
      </c>
      <c r="E8" s="1068">
        <f t="shared" ref="E8:N8" si="3">obalProd1Seg3TotalSubs</f>
        <v>8535883.4399999995</v>
      </c>
      <c r="F8" s="1068">
        <f t="shared" si="3"/>
        <v>8535883.4399999995</v>
      </c>
      <c r="G8" s="1068">
        <f t="shared" si="3"/>
        <v>8535883.4399999995</v>
      </c>
      <c r="H8" s="1068">
        <f t="shared" si="3"/>
        <v>8535883.4399999995</v>
      </c>
      <c r="I8" s="1068">
        <f t="shared" si="3"/>
        <v>8535883.4399999995</v>
      </c>
      <c r="J8" s="1068">
        <f t="shared" si="3"/>
        <v>8535883.4399999995</v>
      </c>
      <c r="K8" s="1068">
        <f t="shared" si="3"/>
        <v>8535883.4399999995</v>
      </c>
      <c r="L8" s="1068">
        <f t="shared" si="3"/>
        <v>8535883.4399999995</v>
      </c>
      <c r="M8" s="1068">
        <f t="shared" si="3"/>
        <v>8535883.4399999995</v>
      </c>
      <c r="N8" s="1068">
        <f t="shared" si="3"/>
        <v>8535883.4399999995</v>
      </c>
      <c r="O8" s="865">
        <f>ROUND(D8*$C8,0)</f>
        <v>6401913</v>
      </c>
      <c r="P8" s="845" t="s">
        <v>2493</v>
      </c>
      <c r="R8" s="866">
        <v>1</v>
      </c>
      <c r="S8" s="1066">
        <v>0.75</v>
      </c>
      <c r="T8" s="1066">
        <v>0.75</v>
      </c>
      <c r="U8" s="1066">
        <v>0.75</v>
      </c>
    </row>
    <row r="9" spans="1:21" s="19" customFormat="1">
      <c r="C9" s="937"/>
      <c r="D9" s="1080"/>
      <c r="P9" s="845"/>
      <c r="R9" s="498"/>
      <c r="S9" s="498"/>
      <c r="T9" s="498"/>
      <c r="U9" s="498"/>
    </row>
    <row r="10" spans="1:21" s="867" customFormat="1">
      <c r="A10" s="867" t="str">
        <f>nmProd2&amp;" Subscriptions"</f>
        <v>Intelligent Cloud Subscriptions</v>
      </c>
      <c r="C10" s="1073"/>
      <c r="D10" s="1079"/>
      <c r="P10" s="868"/>
      <c r="R10" s="869" t="s">
        <v>765</v>
      </c>
      <c r="S10" s="869" t="s">
        <v>764</v>
      </c>
      <c r="T10" s="869" t="s">
        <v>763</v>
      </c>
      <c r="U10" s="869" t="s">
        <v>762</v>
      </c>
    </row>
    <row r="11" spans="1:21" s="19" customFormat="1">
      <c r="C11" s="937"/>
      <c r="D11" s="1080"/>
      <c r="P11" s="845"/>
    </row>
    <row r="12" spans="1:21" s="861" customFormat="1" ht="41.4" customHeight="1">
      <c r="B12" s="861" t="s">
        <v>2434</v>
      </c>
      <c r="C12" s="936" t="s">
        <v>2435</v>
      </c>
      <c r="D12" s="1081" t="s">
        <v>2898</v>
      </c>
      <c r="E12" s="861" t="str">
        <f t="shared" ref="E12:N12" si="4">decTeamName</f>
        <v>Nimbolt</v>
      </c>
      <c r="F12" s="861" t="str">
        <f t="shared" si="4"/>
        <v>Nimbolt</v>
      </c>
      <c r="G12" s="861" t="str">
        <f t="shared" si="4"/>
        <v>Nimbolt</v>
      </c>
      <c r="H12" s="861" t="str">
        <f t="shared" si="4"/>
        <v>Nimbolt</v>
      </c>
      <c r="I12" s="861" t="str">
        <f t="shared" si="4"/>
        <v>Nimbolt</v>
      </c>
      <c r="J12" s="861" t="str">
        <f t="shared" si="4"/>
        <v>Nimbolt</v>
      </c>
      <c r="K12" s="861" t="str">
        <f t="shared" si="4"/>
        <v>Nimbolt</v>
      </c>
      <c r="L12" s="861" t="str">
        <f t="shared" si="4"/>
        <v>Nimbolt</v>
      </c>
      <c r="M12" s="861" t="str">
        <f t="shared" si="4"/>
        <v>Nimbolt</v>
      </c>
      <c r="N12" s="861" t="str">
        <f t="shared" si="4"/>
        <v>Nimbolt</v>
      </c>
      <c r="O12" s="863" t="s">
        <v>749</v>
      </c>
      <c r="P12" s="864"/>
      <c r="R12" s="862" t="s">
        <v>2435</v>
      </c>
      <c r="S12" s="862" t="s">
        <v>2435</v>
      </c>
      <c r="T12" s="862" t="s">
        <v>2435</v>
      </c>
      <c r="U12" s="862" t="s">
        <v>2435</v>
      </c>
    </row>
    <row r="13" spans="1:21" s="19" customFormat="1">
      <c r="B13" s="845" t="str">
        <f>nmProd2Seg1</f>
        <v>Intelligent Cloud Enterprise</v>
      </c>
      <c r="C13" s="1075">
        <f>CHOOSE(xxRound+1,R13,S13,T13,U13)</f>
        <v>0.75</v>
      </c>
      <c r="D13" s="1074">
        <f>AVERAGE(E13:G13)</f>
        <v>2329987.9477210129</v>
      </c>
      <c r="E13" s="1068">
        <f t="shared" ref="E13:N13" si="5">obalProd2Seg1TotalSubs</f>
        <v>2329987.9477210129</v>
      </c>
      <c r="F13" s="1068">
        <f t="shared" si="5"/>
        <v>2329987.9477210129</v>
      </c>
      <c r="G13" s="1068">
        <f t="shared" si="5"/>
        <v>2329987.9477210129</v>
      </c>
      <c r="H13" s="1068">
        <f t="shared" si="5"/>
        <v>2329987.9477210129</v>
      </c>
      <c r="I13" s="1068">
        <f t="shared" si="5"/>
        <v>2329987.9477210129</v>
      </c>
      <c r="J13" s="1068">
        <f t="shared" si="5"/>
        <v>2329987.9477210129</v>
      </c>
      <c r="K13" s="1068">
        <f t="shared" si="5"/>
        <v>2329987.9477210129</v>
      </c>
      <c r="L13" s="1068">
        <f t="shared" si="5"/>
        <v>2329987.9477210129</v>
      </c>
      <c r="M13" s="1068">
        <f t="shared" si="5"/>
        <v>2329987.9477210129</v>
      </c>
      <c r="N13" s="1068">
        <f t="shared" si="5"/>
        <v>2329987.9477210129</v>
      </c>
      <c r="O13" s="865">
        <f>ROUND(D13*$C13,0)</f>
        <v>1747491</v>
      </c>
      <c r="P13" s="845" t="s">
        <v>2494</v>
      </c>
      <c r="R13" s="866">
        <v>1</v>
      </c>
      <c r="S13" s="1066">
        <v>0.75</v>
      </c>
      <c r="T13" s="1066">
        <v>0.75</v>
      </c>
      <c r="U13" s="1066">
        <v>0.75</v>
      </c>
    </row>
    <row r="14" spans="1:21" s="19" customFormat="1">
      <c r="B14" s="845" t="str">
        <f>nmProd2Seg2</f>
        <v>Intelligent Cloud SMC</v>
      </c>
      <c r="C14" s="1075">
        <f>CHOOSE(xxRound+1,R14,S14,T14,U14)</f>
        <v>0.75</v>
      </c>
      <c r="D14" s="1074">
        <f>AVERAGE(E14:G14)</f>
        <v>2542339.0472343266</v>
      </c>
      <c r="E14" s="1068">
        <f t="shared" ref="E14:N14" si="6">obalProd2Seg2TotalSubs</f>
        <v>2542339.0472343266</v>
      </c>
      <c r="F14" s="1068">
        <f t="shared" si="6"/>
        <v>2542339.0472343266</v>
      </c>
      <c r="G14" s="1068">
        <f t="shared" si="6"/>
        <v>2542339.0472343266</v>
      </c>
      <c r="H14" s="1068">
        <f t="shared" si="6"/>
        <v>2542339.0472343266</v>
      </c>
      <c r="I14" s="1068">
        <f t="shared" si="6"/>
        <v>2542339.0472343266</v>
      </c>
      <c r="J14" s="1068">
        <f t="shared" si="6"/>
        <v>2542339.0472343266</v>
      </c>
      <c r="K14" s="1068">
        <f t="shared" si="6"/>
        <v>2542339.0472343266</v>
      </c>
      <c r="L14" s="1068">
        <f t="shared" si="6"/>
        <v>2542339.0472343266</v>
      </c>
      <c r="M14" s="1068">
        <f t="shared" si="6"/>
        <v>2542339.0472343266</v>
      </c>
      <c r="N14" s="1068">
        <f t="shared" si="6"/>
        <v>2542339.0472343266</v>
      </c>
      <c r="O14" s="865">
        <f>ROUND(D14*$C14,0)</f>
        <v>1906754</v>
      </c>
      <c r="P14" s="845" t="s">
        <v>2495</v>
      </c>
      <c r="R14" s="866">
        <v>1</v>
      </c>
      <c r="S14" s="1066">
        <v>0.75</v>
      </c>
      <c r="T14" s="1066">
        <v>0.75</v>
      </c>
      <c r="U14" s="1066">
        <v>0.75</v>
      </c>
    </row>
    <row r="15" spans="1:21" s="19" customFormat="1">
      <c r="C15" s="937"/>
      <c r="D15" s="1080"/>
      <c r="P15" s="845"/>
      <c r="R15" s="498"/>
      <c r="S15" s="498"/>
      <c r="T15" s="498"/>
      <c r="U15" s="498"/>
    </row>
    <row r="16" spans="1:21" s="867" customFormat="1">
      <c r="A16" s="867" t="str">
        <f>nmProd1&amp;" Opening Share"</f>
        <v>Productivity &amp; Business Opening Share</v>
      </c>
      <c r="C16" s="1073"/>
      <c r="D16" s="1079"/>
      <c r="P16" s="868"/>
      <c r="R16" s="869" t="s">
        <v>765</v>
      </c>
      <c r="S16" s="869" t="s">
        <v>764</v>
      </c>
      <c r="T16" s="869" t="s">
        <v>763</v>
      </c>
      <c r="U16" s="869" t="s">
        <v>762</v>
      </c>
    </row>
    <row r="17" spans="1:22" s="19" customFormat="1">
      <c r="C17" s="937"/>
      <c r="D17" s="1080"/>
      <c r="P17" s="845"/>
    </row>
    <row r="18" spans="1:22" s="861" customFormat="1" ht="41.4" customHeight="1">
      <c r="B18" s="861" t="s">
        <v>2434</v>
      </c>
      <c r="C18" s="936" t="s">
        <v>2435</v>
      </c>
      <c r="D18" s="1081" t="s">
        <v>2898</v>
      </c>
      <c r="E18" s="861" t="str">
        <f t="shared" ref="E18:N18" si="7">decTeamName</f>
        <v>Nimbolt</v>
      </c>
      <c r="F18" s="861" t="str">
        <f t="shared" si="7"/>
        <v>Nimbolt</v>
      </c>
      <c r="G18" s="861" t="str">
        <f t="shared" si="7"/>
        <v>Nimbolt</v>
      </c>
      <c r="H18" s="861" t="str">
        <f t="shared" si="7"/>
        <v>Nimbolt</v>
      </c>
      <c r="I18" s="861" t="str">
        <f t="shared" si="7"/>
        <v>Nimbolt</v>
      </c>
      <c r="J18" s="861" t="str">
        <f t="shared" si="7"/>
        <v>Nimbolt</v>
      </c>
      <c r="K18" s="861" t="str">
        <f t="shared" si="7"/>
        <v>Nimbolt</v>
      </c>
      <c r="L18" s="861" t="str">
        <f t="shared" si="7"/>
        <v>Nimbolt</v>
      </c>
      <c r="M18" s="861" t="str">
        <f t="shared" si="7"/>
        <v>Nimbolt</v>
      </c>
      <c r="N18" s="861" t="str">
        <f t="shared" si="7"/>
        <v>Nimbolt</v>
      </c>
      <c r="O18" s="863" t="s">
        <v>749</v>
      </c>
      <c r="P18" s="864"/>
      <c r="R18" s="19"/>
      <c r="S18" s="19"/>
      <c r="T18" s="19"/>
      <c r="U18" s="19"/>
      <c r="V18" s="19"/>
    </row>
    <row r="19" spans="1:22" s="19" customFormat="1">
      <c r="B19" s="845" t="str">
        <f>nmProd1Seg1</f>
        <v>Productivity &amp; Business Enterprise</v>
      </c>
      <c r="C19" s="1075">
        <f>CHOOSE(xxRound+1,R19,S19,T19,U19)</f>
        <v>0</v>
      </c>
      <c r="D19" s="1085">
        <f>AVERAGE(E19:G19)</f>
        <v>9.0000000000000011E-2</v>
      </c>
      <c r="E19" s="1067">
        <f>IF(xxNumOfTeams&gt;0,obalOpsProd1Seg1Share,0)</f>
        <v>0.09</v>
      </c>
      <c r="F19" s="1067">
        <f>IF(xxNumOfTeams&gt;1,obalOpsProd1Seg1Share,0)</f>
        <v>0.09</v>
      </c>
      <c r="G19" s="1067">
        <f>IF(xxNumOfTeams&gt;2,obalOpsProd1Seg1Share,0)</f>
        <v>0.09</v>
      </c>
      <c r="H19" s="1067">
        <f>IF(xxNumOfTeams&gt;3,obalOpsProd1Seg1Share,0)</f>
        <v>0.09</v>
      </c>
      <c r="I19" s="1067">
        <f>IF(xxNumOfTeams&gt;4,obalOpsProd1Seg1Share,0)</f>
        <v>0.09</v>
      </c>
      <c r="J19" s="1067">
        <f>IF(xxNumOfTeams&gt;5,obalOpsProd1Seg1Share,0)</f>
        <v>0.09</v>
      </c>
      <c r="K19" s="1067">
        <f>IF(xxNumOfTeams&gt;6,obalOpsProd1Seg1Share,0)</f>
        <v>0.09</v>
      </c>
      <c r="L19" s="1067">
        <f>IF(xxNumOfTeams&gt;7,obalOpsProd1Seg1Share,0)</f>
        <v>0.09</v>
      </c>
      <c r="M19" s="1067">
        <f>IF(xxNumOfTeams&gt;8,obalOpsProd1Seg1Share,0)</f>
        <v>0.09</v>
      </c>
      <c r="N19" s="1067">
        <f>IF(xxNumOfTeams&gt;9,obalOpsProd1Seg1Share,0)</f>
        <v>0.09</v>
      </c>
      <c r="O19" s="870">
        <f>1-SUM(E19:N19)</f>
        <v>0.1000000000000002</v>
      </c>
      <c r="P19" s="845" t="s">
        <v>2513</v>
      </c>
    </row>
    <row r="20" spans="1:22" s="19" customFormat="1">
      <c r="B20" s="845" t="str">
        <f>nmProd1Seg2</f>
        <v>Productivity &amp; Business SMC</v>
      </c>
      <c r="C20" s="1075">
        <f>CHOOSE(xxRound+1,R20,S20,T20,U20)</f>
        <v>0</v>
      </c>
      <c r="D20" s="1085">
        <f>AVERAGE(E20:G20)</f>
        <v>9.0000000000000011E-2</v>
      </c>
      <c r="E20" s="1067">
        <f>IF(xxNumOfTeams&gt;0,obalOpsProd1Seg2Share,0)</f>
        <v>0.09</v>
      </c>
      <c r="F20" s="1067">
        <f>IF(xxNumOfTeams&gt;1,obalOpsProd1Seg2Share,0)</f>
        <v>0.09</v>
      </c>
      <c r="G20" s="1067">
        <f>IF(xxNumOfTeams&gt;2,obalOpsProd1Seg2Share,0)</f>
        <v>0.09</v>
      </c>
      <c r="H20" s="1067">
        <f>IF(xxNumOfTeams&gt;3,obalOpsProd1Seg2Share,0)</f>
        <v>0.09</v>
      </c>
      <c r="I20" s="1067">
        <f>IF(xxNumOfTeams&gt;4,obalOpsProd1Seg2Share,0)</f>
        <v>0.09</v>
      </c>
      <c r="J20" s="1067">
        <f>IF(xxNumOfTeams&gt;5,obalOpsProd1Seg2Share,0)</f>
        <v>0.09</v>
      </c>
      <c r="K20" s="1067">
        <f>IF(xxNumOfTeams&gt;6,obalOpsProd1Seg2Share,0)</f>
        <v>0.09</v>
      </c>
      <c r="L20" s="1067">
        <f>IF(xxNumOfTeams&gt;7,obalOpsProd1Seg2Share,0)</f>
        <v>0.09</v>
      </c>
      <c r="M20" s="1067">
        <f>IF(xxNumOfTeams&gt;8,obalOpsProd1Seg2Share,0)</f>
        <v>0.09</v>
      </c>
      <c r="N20" s="1067">
        <f>IF(xxNumOfTeams&gt;9,obalOpsProd1Seg2Share,0)</f>
        <v>0.09</v>
      </c>
      <c r="O20" s="870">
        <f>1-SUM(E20:N20)</f>
        <v>0.1000000000000002</v>
      </c>
      <c r="P20" s="845" t="s">
        <v>2514</v>
      </c>
    </row>
    <row r="21" spans="1:22" s="19" customFormat="1">
      <c r="B21" s="845" t="str">
        <f>nmProd1Seg3</f>
        <v>Productivity &amp; Business Consumer</v>
      </c>
      <c r="C21" s="1075">
        <f>CHOOSE(xxRound+1,R21,S21,T21,U21)</f>
        <v>0</v>
      </c>
      <c r="D21" s="1085">
        <f>AVERAGE(E21:G21)</f>
        <v>9.0000000000000011E-2</v>
      </c>
      <c r="E21" s="1067">
        <f>IF(xxNumOfTeams&gt;0,obalOpsProd1Seg3Share,0)</f>
        <v>0.09</v>
      </c>
      <c r="F21" s="1067">
        <f>IF(xxNumOfTeams&gt;1,obalOpsProd1Seg3Share,0)</f>
        <v>0.09</v>
      </c>
      <c r="G21" s="1067">
        <f>IF(xxNumOfTeams&gt;2,obalOpsProd1Seg3Share,0)</f>
        <v>0.09</v>
      </c>
      <c r="H21" s="1067">
        <f>IF(xxNumOfTeams&gt;3,obalOpsProd1Seg3Share,0)</f>
        <v>0.09</v>
      </c>
      <c r="I21" s="1067">
        <f>IF(xxNumOfTeams&gt;4,obalOpsProd1Seg3Share,0)</f>
        <v>0.09</v>
      </c>
      <c r="J21" s="1067">
        <f>IF(xxNumOfTeams&gt;5,obalOpsProd1Seg3Share,0)</f>
        <v>0.09</v>
      </c>
      <c r="K21" s="1067">
        <f>IF(xxNumOfTeams&gt;6,obalOpsProd1Seg3Share,0)</f>
        <v>0.09</v>
      </c>
      <c r="L21" s="1067">
        <f>IF(xxNumOfTeams&gt;7,obalOpsProd1Seg3Share,0)</f>
        <v>0.09</v>
      </c>
      <c r="M21" s="1067">
        <f>IF(xxNumOfTeams&gt;8,obalOpsProd1Seg3Share,0)</f>
        <v>0.09</v>
      </c>
      <c r="N21" s="1067">
        <f>IF(xxNumOfTeams&gt;9,obalOpsProd1Seg3Share,0)</f>
        <v>0.09</v>
      </c>
      <c r="O21" s="870">
        <f>1-SUM(E21:N21)</f>
        <v>0.1000000000000002</v>
      </c>
      <c r="P21" s="845" t="s">
        <v>2515</v>
      </c>
    </row>
    <row r="22" spans="1:22" s="19" customFormat="1">
      <c r="C22" s="937"/>
      <c r="D22" s="1080"/>
      <c r="P22" s="845"/>
      <c r="R22" s="498"/>
      <c r="S22" s="498"/>
      <c r="T22" s="498"/>
      <c r="U22" s="498"/>
    </row>
    <row r="23" spans="1:22" s="867" customFormat="1">
      <c r="A23" s="867" t="str">
        <f>nmProd2&amp;" Opening Share"</f>
        <v>Intelligent Cloud Opening Share</v>
      </c>
      <c r="C23" s="1073"/>
      <c r="D23" s="1079"/>
      <c r="P23" s="868"/>
      <c r="R23" s="869" t="s">
        <v>765</v>
      </c>
      <c r="S23" s="869" t="s">
        <v>764</v>
      </c>
      <c r="T23" s="869" t="s">
        <v>763</v>
      </c>
      <c r="U23" s="869" t="s">
        <v>762</v>
      </c>
    </row>
    <row r="24" spans="1:22" s="19" customFormat="1">
      <c r="C24" s="937"/>
      <c r="D24" s="1080"/>
      <c r="P24" s="845"/>
    </row>
    <row r="25" spans="1:22" s="861" customFormat="1" ht="41.4" customHeight="1">
      <c r="B25" s="861" t="s">
        <v>2434</v>
      </c>
      <c r="C25" s="936" t="s">
        <v>2435</v>
      </c>
      <c r="D25" s="1081" t="s">
        <v>2898</v>
      </c>
      <c r="E25" s="861" t="str">
        <f t="shared" ref="E25:N25" si="8">decTeamName</f>
        <v>Nimbolt</v>
      </c>
      <c r="F25" s="861" t="str">
        <f t="shared" si="8"/>
        <v>Nimbolt</v>
      </c>
      <c r="G25" s="861" t="str">
        <f t="shared" si="8"/>
        <v>Nimbolt</v>
      </c>
      <c r="H25" s="861" t="str">
        <f t="shared" si="8"/>
        <v>Nimbolt</v>
      </c>
      <c r="I25" s="861" t="str">
        <f t="shared" si="8"/>
        <v>Nimbolt</v>
      </c>
      <c r="J25" s="861" t="str">
        <f t="shared" si="8"/>
        <v>Nimbolt</v>
      </c>
      <c r="K25" s="861" t="str">
        <f t="shared" si="8"/>
        <v>Nimbolt</v>
      </c>
      <c r="L25" s="861" t="str">
        <f t="shared" si="8"/>
        <v>Nimbolt</v>
      </c>
      <c r="M25" s="861" t="str">
        <f t="shared" si="8"/>
        <v>Nimbolt</v>
      </c>
      <c r="N25" s="861" t="str">
        <f t="shared" si="8"/>
        <v>Nimbolt</v>
      </c>
      <c r="O25" s="863" t="s">
        <v>749</v>
      </c>
      <c r="P25" s="864"/>
      <c r="R25" s="19"/>
      <c r="S25" s="19"/>
      <c r="T25" s="19"/>
      <c r="U25" s="19"/>
    </row>
    <row r="26" spans="1:22" s="19" customFormat="1">
      <c r="B26" s="845" t="str">
        <f>nmProd2Seg1</f>
        <v>Intelligent Cloud Enterprise</v>
      </c>
      <c r="C26" s="1075">
        <f>CHOOSE(xxRound+1,R26,S26,T26,U26)</f>
        <v>0</v>
      </c>
      <c r="D26" s="1085">
        <f>AVERAGE(E26:G26)</f>
        <v>9.0000000000000011E-2</v>
      </c>
      <c r="E26" s="1067">
        <f>IF(xxNumOfTeams&gt;0,obalOpsProd2Seg1Share,0)</f>
        <v>0.09</v>
      </c>
      <c r="F26" s="1067">
        <f>IF(xxNumOfTeams&gt;1,obalOpsProd2Seg1Share,0)</f>
        <v>0.09</v>
      </c>
      <c r="G26" s="1067">
        <f>IF(xxNumOfTeams&gt;2,obalOpsProd2Seg1Share,0)</f>
        <v>0.09</v>
      </c>
      <c r="H26" s="1067">
        <f>IF(xxNumOfTeams&gt;3,obalOpsProd2Seg1Share,0)</f>
        <v>0.09</v>
      </c>
      <c r="I26" s="1067">
        <f>IF(xxNumOfTeams&gt;4,obalOpsProd2Seg1Share,0)</f>
        <v>0.09</v>
      </c>
      <c r="J26" s="1067">
        <f>IF(xxNumOfTeams&gt;5,obalOpsProd2Seg1Share,0)</f>
        <v>0.09</v>
      </c>
      <c r="K26" s="1067">
        <f>IF(xxNumOfTeams&gt;6,obalOpsProd2Seg1Share,0)</f>
        <v>0.09</v>
      </c>
      <c r="L26" s="1067">
        <f>IF(xxNumOfTeams&gt;7,obalOpsProd2Seg1Share,0)</f>
        <v>0.09</v>
      </c>
      <c r="M26" s="1067">
        <f>IF(xxNumOfTeams&gt;8,obalOpsProd2Seg1Share,0)</f>
        <v>0.09</v>
      </c>
      <c r="N26" s="1067">
        <f>IF(xxNumOfTeams&gt;9,obalOpsProd2Seg1Share,0)</f>
        <v>0.09</v>
      </c>
      <c r="O26" s="870">
        <f>1-SUM(E26:N26)</f>
        <v>0.1000000000000002</v>
      </c>
      <c r="P26" s="845" t="s">
        <v>2511</v>
      </c>
    </row>
    <row r="27" spans="1:22" s="19" customFormat="1">
      <c r="B27" s="845" t="str">
        <f>nmProd2Seg2</f>
        <v>Intelligent Cloud SMC</v>
      </c>
      <c r="C27" s="1075">
        <f>CHOOSE(xxRound+1,R27,S27,T27,U27)</f>
        <v>0</v>
      </c>
      <c r="D27" s="1085">
        <f>AVERAGE(E27:G27)</f>
        <v>9.0000000000000011E-2</v>
      </c>
      <c r="E27" s="1067">
        <f>IF(xxNumOfTeams&gt;0,obalOpsProd2Seg2Share,0)</f>
        <v>0.09</v>
      </c>
      <c r="F27" s="1067">
        <f>IF(xxNumOfTeams&gt;1,obalOpsProd2Seg2Share,0)</f>
        <v>0.09</v>
      </c>
      <c r="G27" s="1067">
        <f>IF(xxNumOfTeams&gt;2,obalOpsProd2Seg2Share,0)</f>
        <v>0.09</v>
      </c>
      <c r="H27" s="1067">
        <f>IF(xxNumOfTeams&gt;3,obalOpsProd2Seg2Share,0)</f>
        <v>0.09</v>
      </c>
      <c r="I27" s="1067">
        <f>IF(xxNumOfTeams&gt;4,obalOpsProd2Seg2Share,0)</f>
        <v>0.09</v>
      </c>
      <c r="J27" s="1067">
        <f>IF(xxNumOfTeams&gt;5,obalOpsProd2Seg2Share,0)</f>
        <v>0.09</v>
      </c>
      <c r="K27" s="1067">
        <f>IF(xxNumOfTeams&gt;6,obalOpsProd2Seg2Share,0)</f>
        <v>0.09</v>
      </c>
      <c r="L27" s="1067">
        <f>IF(xxNumOfTeams&gt;7,obalOpsProd2Seg2Share,0)</f>
        <v>0.09</v>
      </c>
      <c r="M27" s="1067">
        <f>IF(xxNumOfTeams&gt;8,obalOpsProd2Seg2Share,0)</f>
        <v>0.09</v>
      </c>
      <c r="N27" s="1067">
        <f>IF(xxNumOfTeams&gt;9,obalOpsProd2Seg2Share,0)</f>
        <v>0.09</v>
      </c>
      <c r="O27" s="870">
        <f>1-SUM(E27:N27)</f>
        <v>0.1000000000000002</v>
      </c>
      <c r="P27" s="845" t="s">
        <v>2512</v>
      </c>
    </row>
    <row r="28" spans="1:22" s="19" customFormat="1">
      <c r="C28" s="937"/>
      <c r="D28" s="1080"/>
      <c r="P28" s="845"/>
      <c r="R28" s="498"/>
      <c r="S28" s="498"/>
      <c r="T28" s="498"/>
      <c r="U28" s="498"/>
    </row>
    <row r="29" spans="1:22" s="19" customFormat="1">
      <c r="C29" s="937"/>
      <c r="D29" s="1080"/>
      <c r="P29" s="845"/>
      <c r="R29" s="498"/>
      <c r="S29" s="498"/>
      <c r="T29" s="498"/>
      <c r="U29" s="498"/>
    </row>
    <row r="30" spans="1:22" s="867" customFormat="1">
      <c r="A30" s="867" t="str">
        <f>nmProd3&amp;" Opening Share"</f>
        <v>Personal Computing Opening Share</v>
      </c>
      <c r="C30" s="1073"/>
      <c r="D30" s="1079"/>
      <c r="P30" s="868"/>
      <c r="R30" s="869" t="s">
        <v>765</v>
      </c>
      <c r="S30" s="869" t="s">
        <v>764</v>
      </c>
      <c r="T30" s="869" t="s">
        <v>763</v>
      </c>
      <c r="U30" s="869" t="s">
        <v>762</v>
      </c>
    </row>
    <row r="31" spans="1:22" s="19" customFormat="1">
      <c r="C31" s="937"/>
      <c r="D31" s="1080"/>
      <c r="P31" s="845"/>
    </row>
    <row r="32" spans="1:22" s="861" customFormat="1" ht="41.4" customHeight="1">
      <c r="B32" s="861" t="s">
        <v>2434</v>
      </c>
      <c r="C32" s="936" t="s">
        <v>2435</v>
      </c>
      <c r="D32" s="1081" t="s">
        <v>2898</v>
      </c>
      <c r="E32" s="861" t="str">
        <f t="shared" ref="E32:N32" si="9">decTeamName</f>
        <v>Nimbolt</v>
      </c>
      <c r="F32" s="861" t="str">
        <f t="shared" si="9"/>
        <v>Nimbolt</v>
      </c>
      <c r="G32" s="861" t="str">
        <f t="shared" si="9"/>
        <v>Nimbolt</v>
      </c>
      <c r="H32" s="861" t="str">
        <f t="shared" si="9"/>
        <v>Nimbolt</v>
      </c>
      <c r="I32" s="861" t="str">
        <f t="shared" si="9"/>
        <v>Nimbolt</v>
      </c>
      <c r="J32" s="861" t="str">
        <f t="shared" si="9"/>
        <v>Nimbolt</v>
      </c>
      <c r="K32" s="861" t="str">
        <f t="shared" si="9"/>
        <v>Nimbolt</v>
      </c>
      <c r="L32" s="861" t="str">
        <f t="shared" si="9"/>
        <v>Nimbolt</v>
      </c>
      <c r="M32" s="861" t="str">
        <f t="shared" si="9"/>
        <v>Nimbolt</v>
      </c>
      <c r="N32" s="861" t="str">
        <f t="shared" si="9"/>
        <v>Nimbolt</v>
      </c>
      <c r="O32" s="863" t="s">
        <v>749</v>
      </c>
      <c r="P32" s="864"/>
      <c r="R32" s="862" t="s">
        <v>2435</v>
      </c>
      <c r="S32" s="862" t="s">
        <v>2435</v>
      </c>
      <c r="T32" s="862" t="s">
        <v>2435</v>
      </c>
      <c r="U32" s="862" t="s">
        <v>2435</v>
      </c>
    </row>
    <row r="33" spans="1:23" s="19" customFormat="1">
      <c r="B33" s="845" t="str">
        <f>nmProd3Seg1</f>
        <v>Personal Computing Enterprise</v>
      </c>
      <c r="C33" s="1075">
        <f>CHOOSE(xxRound+1,R33,S33,T33,U33)</f>
        <v>1</v>
      </c>
      <c r="D33" s="1085">
        <f>AVERAGE(E33:G33)</f>
        <v>9.0000000000000011E-2</v>
      </c>
      <c r="E33" s="1067">
        <f>IF(xxNumOfTeams&gt;0,obalOpsProd3Seg1Share,0)</f>
        <v>0.09</v>
      </c>
      <c r="F33" s="1067">
        <f>IF(xxNumOfTeams&gt;1,obalOpsProd3Seg1Share,0)</f>
        <v>0.09</v>
      </c>
      <c r="G33" s="1067">
        <f>IF(xxNumOfTeams&gt;2,obalOpsProd3Seg1Share,0)</f>
        <v>0.09</v>
      </c>
      <c r="H33" s="1067">
        <f>IF(xxNumOfTeams&gt;3,obalOpsProd3Seg1Share,0)</f>
        <v>0.09</v>
      </c>
      <c r="I33" s="1067">
        <f>IF(xxNumOfTeams&gt;4,obalOpsProd3Seg1Share,0)</f>
        <v>0.09</v>
      </c>
      <c r="J33" s="1067">
        <f>IF(xxNumOfTeams&gt;5,obalOpsProd3Seg1Share,0)</f>
        <v>0.09</v>
      </c>
      <c r="K33" s="1067">
        <f>IF(xxNumOfTeams&gt;6,obalOpsProd3Seg1Share,0)</f>
        <v>0.09</v>
      </c>
      <c r="L33" s="1067">
        <f>IF(xxNumOfTeams&gt;7,obalOpsProd3Seg1Share,0)</f>
        <v>0.09</v>
      </c>
      <c r="M33" s="1067">
        <f>IF(xxNumOfTeams&gt;8,obalOpsProd3Seg1Share,0)</f>
        <v>0.09</v>
      </c>
      <c r="N33" s="1067">
        <f>IF(xxNumOfTeams&gt;9,obalOpsProd3Seg1Share,0)</f>
        <v>0.09</v>
      </c>
      <c r="O33" s="870">
        <f>1-SUM(E33:N33)</f>
        <v>0.1000000000000002</v>
      </c>
      <c r="P33" s="845" t="s">
        <v>2508</v>
      </c>
      <c r="R33" s="866">
        <v>1</v>
      </c>
      <c r="S33" s="1066">
        <v>1</v>
      </c>
      <c r="T33" s="1066">
        <v>1</v>
      </c>
      <c r="U33" s="1066">
        <v>1</v>
      </c>
    </row>
    <row r="34" spans="1:23" s="19" customFormat="1">
      <c r="B34" s="845" t="str">
        <f>nmProd3Seg2</f>
        <v>Personal Computing SMC</v>
      </c>
      <c r="C34" s="1075">
        <f>CHOOSE(xxRound+1,R34,S34,T34,U34)</f>
        <v>1</v>
      </c>
      <c r="D34" s="1085">
        <f>AVERAGE(E34:G34)</f>
        <v>9.0000000000000011E-2</v>
      </c>
      <c r="E34" s="1067">
        <f>IF(xxNumOfTeams&gt;0,obalOpsProd3Seg2Share,0)</f>
        <v>0.09</v>
      </c>
      <c r="F34" s="1067">
        <f>IF(xxNumOfTeams&gt;1,obalOpsProd3Seg2Share,0)</f>
        <v>0.09</v>
      </c>
      <c r="G34" s="1067">
        <f>IF(xxNumOfTeams&gt;2,obalOpsProd3Seg2Share,0)</f>
        <v>0.09</v>
      </c>
      <c r="H34" s="1067">
        <f>IF(xxNumOfTeams&gt;3,obalOpsProd3Seg2Share,0)</f>
        <v>0.09</v>
      </c>
      <c r="I34" s="1067">
        <f>IF(xxNumOfTeams&gt;4,obalOpsProd3Seg2Share,0)</f>
        <v>0.09</v>
      </c>
      <c r="J34" s="1067">
        <f>IF(xxNumOfTeams&gt;5,obalOpsProd3Seg2Share,0)</f>
        <v>0.09</v>
      </c>
      <c r="K34" s="1067">
        <f>IF(xxNumOfTeams&gt;6,obalOpsProd3Seg2Share,0)</f>
        <v>0.09</v>
      </c>
      <c r="L34" s="1067">
        <f>IF(xxNumOfTeams&gt;7,obalOpsProd3Seg2Share,0)</f>
        <v>0.09</v>
      </c>
      <c r="M34" s="1067">
        <f>IF(xxNumOfTeams&gt;8,obalOpsProd3Seg2Share,0)</f>
        <v>0.09</v>
      </c>
      <c r="N34" s="1067">
        <f>IF(xxNumOfTeams&gt;9,obalOpsProd3Seg2Share,0)</f>
        <v>0.09</v>
      </c>
      <c r="O34" s="870">
        <f>1-SUM(E34:N34)</f>
        <v>0.1000000000000002</v>
      </c>
      <c r="P34" s="845" t="s">
        <v>2509</v>
      </c>
      <c r="R34" s="866">
        <v>1</v>
      </c>
      <c r="S34" s="1066">
        <v>1</v>
      </c>
      <c r="T34" s="1066">
        <v>1</v>
      </c>
      <c r="U34" s="1066">
        <v>1</v>
      </c>
    </row>
    <row r="35" spans="1:23" s="19" customFormat="1">
      <c r="B35" s="845" t="str">
        <f>nmProd3Seg3</f>
        <v>Personal Computing Consumer</v>
      </c>
      <c r="C35" s="1075">
        <f>CHOOSE(xxRound+1,R35,S35,T35,U35)</f>
        <v>1</v>
      </c>
      <c r="D35" s="1085">
        <f>AVERAGE(E35:G35)</f>
        <v>9.0000000000000011E-2</v>
      </c>
      <c r="E35" s="1067">
        <f>IF(xxNumOfTeams&gt;0,obalOpsProd3Seg3Share,0)</f>
        <v>0.09</v>
      </c>
      <c r="F35" s="1067">
        <f>IF(xxNumOfTeams&gt;1,obalOpsProd3Seg3Share,0)</f>
        <v>0.09</v>
      </c>
      <c r="G35" s="1067">
        <f>IF(xxNumOfTeams&gt;2,obalOpsProd3Seg3Share,0)</f>
        <v>0.09</v>
      </c>
      <c r="H35" s="1067">
        <f>IF(xxNumOfTeams&gt;3,obalOpsProd3Seg3Share,0)</f>
        <v>0.09</v>
      </c>
      <c r="I35" s="1067">
        <f>IF(xxNumOfTeams&gt;4,obalOpsProd3Seg3Share,0)</f>
        <v>0.09</v>
      </c>
      <c r="J35" s="1067">
        <f>IF(xxNumOfTeams&gt;5,obalOpsProd3Seg3Share,0)</f>
        <v>0.09</v>
      </c>
      <c r="K35" s="1067">
        <f>IF(xxNumOfTeams&gt;6,obalOpsProd3Seg3Share,0)</f>
        <v>0.09</v>
      </c>
      <c r="L35" s="1067">
        <f>IF(xxNumOfTeams&gt;7,obalOpsProd3Seg3Share,0)</f>
        <v>0.09</v>
      </c>
      <c r="M35" s="1067">
        <f>IF(xxNumOfTeams&gt;8,obalOpsProd3Seg3Share,0)</f>
        <v>0.09</v>
      </c>
      <c r="N35" s="1067">
        <f>IF(xxNumOfTeams&gt;9,obalOpsProd3Seg3Share,0)</f>
        <v>0.09</v>
      </c>
      <c r="O35" s="870">
        <f>1-SUM(E35:N35)</f>
        <v>0.1000000000000002</v>
      </c>
      <c r="P35" s="845" t="s">
        <v>2510</v>
      </c>
      <c r="R35" s="866">
        <v>1</v>
      </c>
      <c r="S35" s="1066">
        <v>1</v>
      </c>
      <c r="T35" s="1066">
        <v>1</v>
      </c>
      <c r="U35" s="1066">
        <v>1</v>
      </c>
    </row>
    <row r="36" spans="1:23" s="19" customFormat="1">
      <c r="C36" s="937"/>
      <c r="D36" s="1080"/>
      <c r="P36" s="845"/>
      <c r="R36" s="498"/>
      <c r="S36" s="498"/>
      <c r="T36" s="498"/>
      <c r="U36" s="498"/>
    </row>
    <row r="37" spans="1:23" s="867" customFormat="1">
      <c r="A37" s="867" t="str">
        <f>nmProd1Seg1&amp;" Market Model Drivers &amp; Consumption"</f>
        <v>Productivity &amp; Business Enterprise Market Model Drivers &amp; Consumption</v>
      </c>
      <c r="C37" s="1073"/>
      <c r="D37" s="1079"/>
      <c r="P37" s="868"/>
      <c r="R37" s="869" t="s">
        <v>765</v>
      </c>
      <c r="S37" s="869" t="s">
        <v>764</v>
      </c>
      <c r="T37" s="869" t="s">
        <v>763</v>
      </c>
      <c r="U37" s="869" t="s">
        <v>762</v>
      </c>
    </row>
    <row r="38" spans="1:23" s="19" customFormat="1">
      <c r="C38" s="937"/>
      <c r="D38" s="1080"/>
      <c r="P38" s="845"/>
    </row>
    <row r="39" spans="1:23" s="861" customFormat="1" ht="41.4" customHeight="1">
      <c r="B39" s="861" t="s">
        <v>2436</v>
      </c>
      <c r="C39" s="936" t="s">
        <v>2435</v>
      </c>
      <c r="D39" s="1081" t="s">
        <v>2898</v>
      </c>
      <c r="E39" s="861" t="str">
        <f t="shared" ref="E39:N39" si="10">decTeamName</f>
        <v>Nimbolt</v>
      </c>
      <c r="F39" s="861" t="str">
        <f t="shared" si="10"/>
        <v>Nimbolt</v>
      </c>
      <c r="G39" s="861" t="str">
        <f t="shared" si="10"/>
        <v>Nimbolt</v>
      </c>
      <c r="H39" s="861" t="str">
        <f t="shared" si="10"/>
        <v>Nimbolt</v>
      </c>
      <c r="I39" s="861" t="str">
        <f t="shared" si="10"/>
        <v>Nimbolt</v>
      </c>
      <c r="J39" s="861" t="str">
        <f t="shared" si="10"/>
        <v>Nimbolt</v>
      </c>
      <c r="K39" s="861" t="str">
        <f t="shared" si="10"/>
        <v>Nimbolt</v>
      </c>
      <c r="L39" s="861" t="str">
        <f t="shared" si="10"/>
        <v>Nimbolt</v>
      </c>
      <c r="M39" s="861" t="str">
        <f t="shared" si="10"/>
        <v>Nimbolt</v>
      </c>
      <c r="N39" s="861" t="str">
        <f t="shared" si="10"/>
        <v>Nimbolt</v>
      </c>
      <c r="O39" s="863" t="s">
        <v>749</v>
      </c>
      <c r="P39" s="864"/>
      <c r="R39" s="862" t="s">
        <v>2435</v>
      </c>
      <c r="S39" s="862" t="s">
        <v>2435</v>
      </c>
      <c r="T39" s="862" t="s">
        <v>2435</v>
      </c>
      <c r="U39" s="862" t="s">
        <v>2435</v>
      </c>
    </row>
    <row r="40" spans="1:23" s="19" customFormat="1">
      <c r="A40" s="19">
        <v>1</v>
      </c>
      <c r="B40" s="845" t="str">
        <f t="shared" ref="B40:B47" si="11">VLOOKUP($A40,tblMMProd1Drivers,2,FALSE)</f>
        <v>Price</v>
      </c>
      <c r="C40" s="1075">
        <f>0.75</f>
        <v>0.75</v>
      </c>
      <c r="D40" s="1077">
        <f t="shared" ref="D40:D47" ca="1" si="12">AVERAGE(OFFSET($E40:$N40,0,0,1,xxNumOfTeams))</f>
        <v>15</v>
      </c>
      <c r="E40" s="1069">
        <f t="shared" ref="E40:N40" si="13">CalcProd1Seg1Price</f>
        <v>15</v>
      </c>
      <c r="F40" s="1069">
        <f t="shared" si="13"/>
        <v>15</v>
      </c>
      <c r="G40" s="1069">
        <f t="shared" si="13"/>
        <v>15</v>
      </c>
      <c r="H40" s="1069">
        <f t="shared" si="13"/>
        <v>15</v>
      </c>
      <c r="I40" s="1069">
        <f t="shared" si="13"/>
        <v>15</v>
      </c>
      <c r="J40" s="1069">
        <f t="shared" si="13"/>
        <v>15</v>
      </c>
      <c r="K40" s="1069">
        <f t="shared" si="13"/>
        <v>15</v>
      </c>
      <c r="L40" s="1069">
        <f t="shared" si="13"/>
        <v>15</v>
      </c>
      <c r="M40" s="1069">
        <f t="shared" si="13"/>
        <v>15</v>
      </c>
      <c r="N40" s="1069">
        <f t="shared" si="13"/>
        <v>15</v>
      </c>
      <c r="O40" s="865">
        <f t="shared" ref="O40:O47" ca="1" si="14">D40*$C40</f>
        <v>11.25</v>
      </c>
      <c r="P40" s="845" t="s">
        <v>2444</v>
      </c>
      <c r="R40" s="866">
        <v>1</v>
      </c>
      <c r="S40" s="1066">
        <v>0.9</v>
      </c>
      <c r="T40" s="1066">
        <v>0.9</v>
      </c>
      <c r="U40" s="1066">
        <v>0.9</v>
      </c>
    </row>
    <row r="41" spans="1:23" s="19" customFormat="1">
      <c r="A41" s="19">
        <v>2</v>
      </c>
      <c r="B41" s="845" t="str">
        <f t="shared" si="11"/>
        <v>Security</v>
      </c>
      <c r="C41" s="1075">
        <f t="shared" ref="C41:C46" si="15">CHOOSE(xxRound+1,R41,S41,T41,U41)</f>
        <v>0.75</v>
      </c>
      <c r="D41" s="1077">
        <f t="shared" ca="1" si="12"/>
        <v>7</v>
      </c>
      <c r="E41" s="1070">
        <f t="shared" ref="E41:N41" si="16">calcMMScoreSecurity</f>
        <v>7</v>
      </c>
      <c r="F41" s="1070">
        <f t="shared" si="16"/>
        <v>7</v>
      </c>
      <c r="G41" s="1070">
        <f t="shared" si="16"/>
        <v>7</v>
      </c>
      <c r="H41" s="1070">
        <f t="shared" si="16"/>
        <v>7</v>
      </c>
      <c r="I41" s="1070">
        <f t="shared" si="16"/>
        <v>7</v>
      </c>
      <c r="J41" s="1070">
        <f t="shared" si="16"/>
        <v>7</v>
      </c>
      <c r="K41" s="1070">
        <f t="shared" si="16"/>
        <v>7</v>
      </c>
      <c r="L41" s="1070">
        <f t="shared" si="16"/>
        <v>7</v>
      </c>
      <c r="M41" s="1070">
        <f t="shared" si="16"/>
        <v>7</v>
      </c>
      <c r="N41" s="1070">
        <f t="shared" si="16"/>
        <v>7</v>
      </c>
      <c r="O41" s="865">
        <f t="shared" ca="1" si="14"/>
        <v>5.25</v>
      </c>
      <c r="P41" s="845" t="s">
        <v>2445</v>
      </c>
      <c r="R41" s="866">
        <v>1</v>
      </c>
      <c r="S41" s="1066">
        <v>0.75</v>
      </c>
      <c r="T41" s="1066">
        <v>0.4</v>
      </c>
      <c r="U41" s="1066">
        <v>0.4</v>
      </c>
    </row>
    <row r="42" spans="1:23" s="19" customFormat="1">
      <c r="A42" s="19">
        <v>3</v>
      </c>
      <c r="B42" s="845" t="str">
        <f t="shared" si="11"/>
        <v>Interoperability</v>
      </c>
      <c r="C42" s="1075">
        <f t="shared" si="15"/>
        <v>1.1499999999999999</v>
      </c>
      <c r="D42" s="1077">
        <f t="shared" ca="1" si="12"/>
        <v>4</v>
      </c>
      <c r="E42" s="1070">
        <f t="shared" ref="E42:N42" si="17">calcMMScoreInteroperability</f>
        <v>4</v>
      </c>
      <c r="F42" s="1070">
        <f t="shared" si="17"/>
        <v>4</v>
      </c>
      <c r="G42" s="1070">
        <f t="shared" si="17"/>
        <v>4</v>
      </c>
      <c r="H42" s="1070">
        <f t="shared" si="17"/>
        <v>4</v>
      </c>
      <c r="I42" s="1070">
        <f t="shared" si="17"/>
        <v>4</v>
      </c>
      <c r="J42" s="1070">
        <f t="shared" si="17"/>
        <v>4</v>
      </c>
      <c r="K42" s="1070">
        <f t="shared" si="17"/>
        <v>4</v>
      </c>
      <c r="L42" s="1070">
        <f t="shared" si="17"/>
        <v>4</v>
      </c>
      <c r="M42" s="1070">
        <f t="shared" si="17"/>
        <v>4</v>
      </c>
      <c r="N42" s="1070">
        <f t="shared" si="17"/>
        <v>4</v>
      </c>
      <c r="O42" s="865">
        <f t="shared" ca="1" si="14"/>
        <v>4.5999999999999996</v>
      </c>
      <c r="P42" s="845" t="s">
        <v>2446</v>
      </c>
      <c r="R42" s="866">
        <v>1</v>
      </c>
      <c r="S42" s="1066">
        <v>1.1499999999999999</v>
      </c>
      <c r="T42" s="1066">
        <v>1.1499999999999999</v>
      </c>
      <c r="U42" s="1066">
        <v>1.1499999999999999</v>
      </c>
      <c r="W42" s="19">
        <v>0.1</v>
      </c>
    </row>
    <row r="43" spans="1:23" s="19" customFormat="1">
      <c r="A43" s="19">
        <v>4</v>
      </c>
      <c r="B43" s="845" t="str">
        <f t="shared" si="11"/>
        <v>Business Applications Offering</v>
      </c>
      <c r="C43" s="1075">
        <f t="shared" si="15"/>
        <v>0.75</v>
      </c>
      <c r="D43" s="1077">
        <f t="shared" ca="1" si="12"/>
        <v>14</v>
      </c>
      <c r="E43" s="1070">
        <f t="shared" ref="E43:N43" si="18">calcMMScoreProd1</f>
        <v>14</v>
      </c>
      <c r="F43" s="1070">
        <f t="shared" si="18"/>
        <v>14</v>
      </c>
      <c r="G43" s="1070">
        <f t="shared" si="18"/>
        <v>14</v>
      </c>
      <c r="H43" s="1070">
        <f t="shared" si="18"/>
        <v>14</v>
      </c>
      <c r="I43" s="1070">
        <f t="shared" si="18"/>
        <v>14</v>
      </c>
      <c r="J43" s="1070">
        <f t="shared" si="18"/>
        <v>14</v>
      </c>
      <c r="K43" s="1070">
        <f t="shared" si="18"/>
        <v>14</v>
      </c>
      <c r="L43" s="1070">
        <f t="shared" si="18"/>
        <v>14</v>
      </c>
      <c r="M43" s="1070">
        <f t="shared" si="18"/>
        <v>14</v>
      </c>
      <c r="N43" s="1070">
        <f t="shared" si="18"/>
        <v>14</v>
      </c>
      <c r="O43" s="865">
        <f t="shared" ca="1" si="14"/>
        <v>10.5</v>
      </c>
      <c r="P43" s="845" t="s">
        <v>2447</v>
      </c>
      <c r="R43" s="866">
        <v>1</v>
      </c>
      <c r="S43" s="1066">
        <v>0.75</v>
      </c>
      <c r="T43" s="1066">
        <v>0.75</v>
      </c>
      <c r="U43" s="1066">
        <v>0.75</v>
      </c>
    </row>
    <row r="44" spans="1:23" s="19" customFormat="1">
      <c r="A44" s="19">
        <v>5</v>
      </c>
      <c r="B44" s="845" t="str">
        <f t="shared" si="11"/>
        <v>Doors OS</v>
      </c>
      <c r="C44" s="1075">
        <f t="shared" si="15"/>
        <v>1.1499999999999999</v>
      </c>
      <c r="D44" s="1077">
        <f t="shared" ca="1" si="12"/>
        <v>7</v>
      </c>
      <c r="E44" s="1070">
        <f t="shared" ref="E44:N44" si="19">calcMMScoreProd3Offering1</f>
        <v>7</v>
      </c>
      <c r="F44" s="1070">
        <f t="shared" si="19"/>
        <v>7</v>
      </c>
      <c r="G44" s="1070">
        <f t="shared" si="19"/>
        <v>7</v>
      </c>
      <c r="H44" s="1070">
        <f t="shared" si="19"/>
        <v>7</v>
      </c>
      <c r="I44" s="1070">
        <f t="shared" si="19"/>
        <v>7</v>
      </c>
      <c r="J44" s="1070">
        <f t="shared" si="19"/>
        <v>7</v>
      </c>
      <c r="K44" s="1070">
        <f t="shared" si="19"/>
        <v>7</v>
      </c>
      <c r="L44" s="1070">
        <f t="shared" si="19"/>
        <v>7</v>
      </c>
      <c r="M44" s="1070">
        <f t="shared" si="19"/>
        <v>7</v>
      </c>
      <c r="N44" s="1070">
        <f t="shared" si="19"/>
        <v>7</v>
      </c>
      <c r="O44" s="865">
        <f t="shared" ca="1" si="14"/>
        <v>8.0499999999999989</v>
      </c>
      <c r="P44" s="845" t="s">
        <v>2448</v>
      </c>
      <c r="R44" s="866">
        <v>1</v>
      </c>
      <c r="S44" s="1066">
        <v>1.1499999999999999</v>
      </c>
      <c r="T44" s="1066">
        <v>1.1499999999999999</v>
      </c>
      <c r="U44" s="1066">
        <v>1.1499999999999999</v>
      </c>
    </row>
    <row r="45" spans="1:23" s="19" customFormat="1">
      <c r="A45" s="19">
        <v>6</v>
      </c>
      <c r="B45" s="845" t="str">
        <f t="shared" si="11"/>
        <v>Devices</v>
      </c>
      <c r="C45" s="1075">
        <f t="shared" si="15"/>
        <v>1.1499999999999999</v>
      </c>
      <c r="D45" s="1077">
        <f t="shared" ca="1" si="12"/>
        <v>6</v>
      </c>
      <c r="E45" s="1070">
        <f t="shared" ref="E45:N45" si="20">calcMMScoreProd3Offering2</f>
        <v>6</v>
      </c>
      <c r="F45" s="1070">
        <f t="shared" si="20"/>
        <v>6</v>
      </c>
      <c r="G45" s="1070">
        <f t="shared" si="20"/>
        <v>6</v>
      </c>
      <c r="H45" s="1070">
        <f t="shared" si="20"/>
        <v>6</v>
      </c>
      <c r="I45" s="1070">
        <f t="shared" si="20"/>
        <v>6</v>
      </c>
      <c r="J45" s="1070">
        <f t="shared" si="20"/>
        <v>6</v>
      </c>
      <c r="K45" s="1070">
        <f t="shared" si="20"/>
        <v>6</v>
      </c>
      <c r="L45" s="1070">
        <f t="shared" si="20"/>
        <v>6</v>
      </c>
      <c r="M45" s="1070">
        <f t="shared" si="20"/>
        <v>6</v>
      </c>
      <c r="N45" s="1070">
        <f t="shared" si="20"/>
        <v>6</v>
      </c>
      <c r="O45" s="865">
        <f t="shared" ca="1" si="14"/>
        <v>6.8999999999999995</v>
      </c>
      <c r="P45" s="845" t="s">
        <v>2449</v>
      </c>
      <c r="R45" s="866">
        <v>1</v>
      </c>
      <c r="S45" s="1066">
        <v>1.1499999999999999</v>
      </c>
      <c r="T45" s="1066">
        <v>1.1499999999999999</v>
      </c>
      <c r="U45" s="1066">
        <v>1.1499999999999999</v>
      </c>
    </row>
    <row r="46" spans="1:23" s="19" customFormat="1">
      <c r="A46" s="19">
        <v>7</v>
      </c>
      <c r="B46" s="845" t="str">
        <f t="shared" si="11"/>
        <v>Sales Force Effectiveness</v>
      </c>
      <c r="C46" s="1075">
        <f t="shared" si="15"/>
        <v>1.1499999999999999</v>
      </c>
      <c r="D46" s="1077">
        <f t="shared" ca="1" si="12"/>
        <v>267.75</v>
      </c>
      <c r="E46" s="1070">
        <f t="shared" ref="E46:N46" si="21">calcSeg1DirectSalesforceMMScore</f>
        <v>267.75</v>
      </c>
      <c r="F46" s="1070">
        <f t="shared" si="21"/>
        <v>267.75</v>
      </c>
      <c r="G46" s="1070">
        <f t="shared" si="21"/>
        <v>267.75</v>
      </c>
      <c r="H46" s="1070">
        <f t="shared" si="21"/>
        <v>267.75</v>
      </c>
      <c r="I46" s="1070">
        <f t="shared" si="21"/>
        <v>267.75</v>
      </c>
      <c r="J46" s="1070">
        <f t="shared" si="21"/>
        <v>267.75</v>
      </c>
      <c r="K46" s="1070">
        <f t="shared" si="21"/>
        <v>267.75</v>
      </c>
      <c r="L46" s="1070">
        <f t="shared" si="21"/>
        <v>267.75</v>
      </c>
      <c r="M46" s="1070">
        <f t="shared" si="21"/>
        <v>267.75</v>
      </c>
      <c r="N46" s="1070">
        <f t="shared" si="21"/>
        <v>267.75</v>
      </c>
      <c r="O46" s="865">
        <f t="shared" ca="1" si="14"/>
        <v>307.91249999999997</v>
      </c>
      <c r="P46" s="845" t="s">
        <v>2450</v>
      </c>
      <c r="R46" s="866">
        <v>1</v>
      </c>
      <c r="S46" s="1066">
        <v>1.1499999999999999</v>
      </c>
      <c r="T46" s="1066">
        <v>1.1499999999999999</v>
      </c>
      <c r="U46" s="1066">
        <v>1.1499999999999999</v>
      </c>
    </row>
    <row r="47" spans="1:23" s="19" customFormat="1">
      <c r="A47" s="19">
        <v>8</v>
      </c>
      <c r="B47" s="845" t="str">
        <f t="shared" si="11"/>
        <v>Partner Relationships</v>
      </c>
      <c r="C47" s="1075">
        <v>0.75</v>
      </c>
      <c r="D47" s="1077">
        <f t="shared" ca="1" si="12"/>
        <v>4.950000000000002</v>
      </c>
      <c r="E47" s="1070">
        <f t="shared" ref="E47:N47" si="22">calcProd1Seg1PartnerMMScore</f>
        <v>4.9500000000000011</v>
      </c>
      <c r="F47" s="1070">
        <f t="shared" si="22"/>
        <v>4.9500000000000011</v>
      </c>
      <c r="G47" s="1070">
        <f t="shared" si="22"/>
        <v>4.9500000000000011</v>
      </c>
      <c r="H47" s="1070">
        <f t="shared" si="22"/>
        <v>4.9500000000000011</v>
      </c>
      <c r="I47" s="1070">
        <f t="shared" si="22"/>
        <v>4.9500000000000011</v>
      </c>
      <c r="J47" s="1070">
        <f t="shared" si="22"/>
        <v>4.9500000000000011</v>
      </c>
      <c r="K47" s="1070">
        <f t="shared" si="22"/>
        <v>4.9500000000000011</v>
      </c>
      <c r="L47" s="1070">
        <f t="shared" si="22"/>
        <v>4.9500000000000011</v>
      </c>
      <c r="M47" s="1070">
        <f t="shared" si="22"/>
        <v>4.9500000000000011</v>
      </c>
      <c r="N47" s="1070">
        <f t="shared" si="22"/>
        <v>4.9500000000000011</v>
      </c>
      <c r="O47" s="865">
        <f t="shared" ca="1" si="14"/>
        <v>3.7125000000000012</v>
      </c>
      <c r="P47" s="845" t="s">
        <v>2451</v>
      </c>
      <c r="R47" s="866">
        <v>1</v>
      </c>
      <c r="S47" s="1066">
        <v>0.75</v>
      </c>
      <c r="T47" s="1066">
        <v>0.75</v>
      </c>
      <c r="U47" s="1066">
        <v>0.75</v>
      </c>
    </row>
    <row r="48" spans="1:23" s="19" customFormat="1">
      <c r="C48" s="937"/>
      <c r="D48" s="937"/>
      <c r="P48" s="845"/>
    </row>
    <row r="49" spans="1:27" s="19" customFormat="1">
      <c r="C49" s="937"/>
      <c r="D49" s="937"/>
      <c r="P49" s="845"/>
      <c r="AA49" s="19">
        <v>0.75</v>
      </c>
    </row>
    <row r="50" spans="1:27" s="19" customFormat="1">
      <c r="B50" s="845" t="s">
        <v>772</v>
      </c>
      <c r="C50" s="1075">
        <f>CHOOSE(xxRound+1,R50,S50,T50,U50)</f>
        <v>0.75</v>
      </c>
      <c r="D50" s="1075">
        <f ca="1">AVERAGE(OFFSET($E50:$N50,0,0,1,xxNumOfTeams))</f>
        <v>0.68994382259548626</v>
      </c>
      <c r="E50" s="1083">
        <f t="shared" ref="E50:N50" si="23">cbalProd1Seg1RenRate</f>
        <v>0.68994382259548614</v>
      </c>
      <c r="F50" s="1083">
        <f t="shared" si="23"/>
        <v>0.68994382259548614</v>
      </c>
      <c r="G50" s="1083">
        <f t="shared" si="23"/>
        <v>0.68994382259548614</v>
      </c>
      <c r="H50" s="1083">
        <f t="shared" si="23"/>
        <v>0.68994382259548614</v>
      </c>
      <c r="I50" s="1083">
        <f t="shared" si="23"/>
        <v>0.68994382259548614</v>
      </c>
      <c r="J50" s="1083">
        <f t="shared" si="23"/>
        <v>0.68994382259548614</v>
      </c>
      <c r="K50" s="1083">
        <f t="shared" si="23"/>
        <v>0.68994382259548614</v>
      </c>
      <c r="L50" s="1083">
        <f t="shared" si="23"/>
        <v>0.68994382259548614</v>
      </c>
      <c r="M50" s="1083">
        <f t="shared" si="23"/>
        <v>0.68994382259548614</v>
      </c>
      <c r="N50" s="1083">
        <f t="shared" si="23"/>
        <v>0.68994382259548614</v>
      </c>
      <c r="O50" s="1084">
        <f ca="1">D50*$C50</f>
        <v>0.51745786694661466</v>
      </c>
      <c r="P50" s="845" t="s">
        <v>2452</v>
      </c>
      <c r="R50" s="866">
        <v>1</v>
      </c>
      <c r="S50" s="1066">
        <v>0.75</v>
      </c>
      <c r="T50" s="1066">
        <v>0.75</v>
      </c>
      <c r="U50" s="1066">
        <v>0.75</v>
      </c>
    </row>
    <row r="51" spans="1:27" s="19" customFormat="1">
      <c r="C51" s="937"/>
      <c r="D51" s="1080"/>
      <c r="P51" s="845"/>
    </row>
    <row r="52" spans="1:27" s="867" customFormat="1">
      <c r="A52" s="867" t="str">
        <f>nmProd1Seg2&amp;" Market Model Drivers &amp; Consumption"</f>
        <v>Productivity &amp; Business SMC Market Model Drivers &amp; Consumption</v>
      </c>
      <c r="C52" s="1073"/>
      <c r="D52" s="1079"/>
      <c r="P52" s="868"/>
      <c r="R52" s="869" t="s">
        <v>765</v>
      </c>
      <c r="S52" s="869" t="s">
        <v>764</v>
      </c>
      <c r="T52" s="869" t="s">
        <v>763</v>
      </c>
      <c r="U52" s="869" t="s">
        <v>762</v>
      </c>
    </row>
    <row r="53" spans="1:27" s="19" customFormat="1">
      <c r="C53" s="937"/>
      <c r="D53" s="1080"/>
      <c r="P53" s="845"/>
    </row>
    <row r="54" spans="1:27" s="861" customFormat="1" ht="41.4" customHeight="1">
      <c r="B54" s="861" t="s">
        <v>2436</v>
      </c>
      <c r="C54" s="936" t="s">
        <v>2435</v>
      </c>
      <c r="D54" s="1081" t="s">
        <v>2898</v>
      </c>
      <c r="E54" s="861" t="str">
        <f t="shared" ref="E54:N54" si="24">decTeamName</f>
        <v>Nimbolt</v>
      </c>
      <c r="F54" s="861" t="str">
        <f t="shared" si="24"/>
        <v>Nimbolt</v>
      </c>
      <c r="G54" s="861" t="str">
        <f t="shared" si="24"/>
        <v>Nimbolt</v>
      </c>
      <c r="H54" s="861" t="str">
        <f t="shared" si="24"/>
        <v>Nimbolt</v>
      </c>
      <c r="I54" s="861" t="str">
        <f t="shared" si="24"/>
        <v>Nimbolt</v>
      </c>
      <c r="J54" s="861" t="str">
        <f t="shared" si="24"/>
        <v>Nimbolt</v>
      </c>
      <c r="K54" s="861" t="str">
        <f t="shared" si="24"/>
        <v>Nimbolt</v>
      </c>
      <c r="L54" s="861" t="str">
        <f t="shared" si="24"/>
        <v>Nimbolt</v>
      </c>
      <c r="M54" s="861" t="str">
        <f t="shared" si="24"/>
        <v>Nimbolt</v>
      </c>
      <c r="N54" s="861" t="str">
        <f t="shared" si="24"/>
        <v>Nimbolt</v>
      </c>
      <c r="O54" s="863" t="s">
        <v>749</v>
      </c>
      <c r="P54" s="864"/>
      <c r="R54" s="862" t="s">
        <v>2435</v>
      </c>
      <c r="S54" s="862" t="s">
        <v>2435</v>
      </c>
      <c r="T54" s="862" t="s">
        <v>2435</v>
      </c>
      <c r="U54" s="862" t="s">
        <v>2435</v>
      </c>
    </row>
    <row r="55" spans="1:27" s="19" customFormat="1">
      <c r="A55" s="19">
        <v>1</v>
      </c>
      <c r="B55" s="845" t="str">
        <f t="shared" ref="B55:B62" si="25">VLOOKUP($A55,tblMMProd1Drivers,2,FALSE)</f>
        <v>Price</v>
      </c>
      <c r="C55" s="1075">
        <f t="shared" ref="C55:C62" si="26">CHOOSE(xxRound+1,R55,S55,T55,U55)</f>
        <v>0.9</v>
      </c>
      <c r="D55" s="1077">
        <f t="shared" ref="D55:D62" ca="1" si="27">AVERAGE(OFFSET($E55:$N55,0,0,1,xxNumOfTeams))</f>
        <v>15</v>
      </c>
      <c r="E55" s="1069">
        <f t="shared" ref="E55:N55" si="28">CalcProd1Seg2Price</f>
        <v>15</v>
      </c>
      <c r="F55" s="1069">
        <f t="shared" si="28"/>
        <v>15</v>
      </c>
      <c r="G55" s="1069">
        <f t="shared" si="28"/>
        <v>15</v>
      </c>
      <c r="H55" s="1069">
        <f t="shared" si="28"/>
        <v>15</v>
      </c>
      <c r="I55" s="1069">
        <f t="shared" si="28"/>
        <v>15</v>
      </c>
      <c r="J55" s="1069">
        <f t="shared" si="28"/>
        <v>15</v>
      </c>
      <c r="K55" s="1069">
        <f t="shared" si="28"/>
        <v>15</v>
      </c>
      <c r="L55" s="1069">
        <f t="shared" si="28"/>
        <v>15</v>
      </c>
      <c r="M55" s="1069">
        <f t="shared" si="28"/>
        <v>15</v>
      </c>
      <c r="N55" s="1069">
        <f t="shared" si="28"/>
        <v>15</v>
      </c>
      <c r="O55" s="865">
        <f t="shared" ref="O55:O62" ca="1" si="29">D55*$C55</f>
        <v>13.5</v>
      </c>
      <c r="P55" s="845" t="s">
        <v>2453</v>
      </c>
      <c r="R55" s="866">
        <v>1</v>
      </c>
      <c r="S55" s="1066">
        <v>0.9</v>
      </c>
      <c r="T55" s="1066">
        <v>0.9</v>
      </c>
      <c r="U55" s="1066">
        <v>0.9</v>
      </c>
    </row>
    <row r="56" spans="1:27" s="19" customFormat="1">
      <c r="A56" s="19">
        <v>2</v>
      </c>
      <c r="B56" s="845" t="str">
        <f t="shared" si="25"/>
        <v>Security</v>
      </c>
      <c r="C56" s="1075">
        <f t="shared" si="26"/>
        <v>0.75</v>
      </c>
      <c r="D56" s="1077">
        <f t="shared" ca="1" si="27"/>
        <v>7</v>
      </c>
      <c r="E56" s="1070">
        <f t="shared" ref="E56:N56" si="30">calcMMScoreSecurity</f>
        <v>7</v>
      </c>
      <c r="F56" s="1070">
        <f t="shared" si="30"/>
        <v>7</v>
      </c>
      <c r="G56" s="1070">
        <f t="shared" si="30"/>
        <v>7</v>
      </c>
      <c r="H56" s="1070">
        <f t="shared" si="30"/>
        <v>7</v>
      </c>
      <c r="I56" s="1070">
        <f t="shared" si="30"/>
        <v>7</v>
      </c>
      <c r="J56" s="1070">
        <f t="shared" si="30"/>
        <v>7</v>
      </c>
      <c r="K56" s="1070">
        <f t="shared" si="30"/>
        <v>7</v>
      </c>
      <c r="L56" s="1070">
        <f t="shared" si="30"/>
        <v>7</v>
      </c>
      <c r="M56" s="1070">
        <f t="shared" si="30"/>
        <v>7</v>
      </c>
      <c r="N56" s="1070">
        <f t="shared" si="30"/>
        <v>7</v>
      </c>
      <c r="O56" s="865">
        <f t="shared" ca="1" si="29"/>
        <v>5.25</v>
      </c>
      <c r="P56" s="845" t="s">
        <v>2454</v>
      </c>
      <c r="R56" s="866">
        <v>1</v>
      </c>
      <c r="S56" s="1066">
        <v>0.75</v>
      </c>
      <c r="T56" s="1066">
        <v>0.4</v>
      </c>
      <c r="U56" s="1066">
        <v>0.4</v>
      </c>
    </row>
    <row r="57" spans="1:27" s="19" customFormat="1">
      <c r="A57" s="19">
        <v>3</v>
      </c>
      <c r="B57" s="845" t="str">
        <f t="shared" si="25"/>
        <v>Interoperability</v>
      </c>
      <c r="C57" s="1075">
        <f t="shared" si="26"/>
        <v>1.1499999999999999</v>
      </c>
      <c r="D57" s="1077">
        <f t="shared" ca="1" si="27"/>
        <v>4</v>
      </c>
      <c r="E57" s="1070">
        <f t="shared" ref="E57:N57" si="31">calcMMScoreInteroperability</f>
        <v>4</v>
      </c>
      <c r="F57" s="1070">
        <f t="shared" si="31"/>
        <v>4</v>
      </c>
      <c r="G57" s="1070">
        <f t="shared" si="31"/>
        <v>4</v>
      </c>
      <c r="H57" s="1070">
        <f t="shared" si="31"/>
        <v>4</v>
      </c>
      <c r="I57" s="1070">
        <f t="shared" si="31"/>
        <v>4</v>
      </c>
      <c r="J57" s="1070">
        <f t="shared" si="31"/>
        <v>4</v>
      </c>
      <c r="K57" s="1070">
        <f t="shared" si="31"/>
        <v>4</v>
      </c>
      <c r="L57" s="1070">
        <f t="shared" si="31"/>
        <v>4</v>
      </c>
      <c r="M57" s="1070">
        <f t="shared" si="31"/>
        <v>4</v>
      </c>
      <c r="N57" s="1070">
        <f t="shared" si="31"/>
        <v>4</v>
      </c>
      <c r="O57" s="865">
        <f t="shared" ca="1" si="29"/>
        <v>4.5999999999999996</v>
      </c>
      <c r="P57" s="845" t="s">
        <v>2455</v>
      </c>
      <c r="R57" s="866">
        <v>1</v>
      </c>
      <c r="S57" s="1066">
        <v>1.1499999999999999</v>
      </c>
      <c r="T57" s="1066">
        <v>1.1499999999999999</v>
      </c>
      <c r="U57" s="1066">
        <v>1.1499999999999999</v>
      </c>
    </row>
    <row r="58" spans="1:27" s="19" customFormat="1">
      <c r="A58" s="19">
        <v>4</v>
      </c>
      <c r="B58" s="845" t="str">
        <f t="shared" si="25"/>
        <v>Business Applications Offering</v>
      </c>
      <c r="C58" s="1075">
        <f t="shared" si="26"/>
        <v>0.75</v>
      </c>
      <c r="D58" s="1077">
        <f t="shared" ca="1" si="27"/>
        <v>14</v>
      </c>
      <c r="E58" s="1070">
        <f t="shared" ref="E58:N58" si="32">calcMMScoreProd1</f>
        <v>14</v>
      </c>
      <c r="F58" s="1070">
        <f t="shared" si="32"/>
        <v>14</v>
      </c>
      <c r="G58" s="1070">
        <f t="shared" si="32"/>
        <v>14</v>
      </c>
      <c r="H58" s="1070">
        <f t="shared" si="32"/>
        <v>14</v>
      </c>
      <c r="I58" s="1070">
        <f t="shared" si="32"/>
        <v>14</v>
      </c>
      <c r="J58" s="1070">
        <f t="shared" si="32"/>
        <v>14</v>
      </c>
      <c r="K58" s="1070">
        <f t="shared" si="32"/>
        <v>14</v>
      </c>
      <c r="L58" s="1070">
        <f t="shared" si="32"/>
        <v>14</v>
      </c>
      <c r="M58" s="1070">
        <f t="shared" si="32"/>
        <v>14</v>
      </c>
      <c r="N58" s="1070">
        <f t="shared" si="32"/>
        <v>14</v>
      </c>
      <c r="O58" s="865">
        <f t="shared" ca="1" si="29"/>
        <v>10.5</v>
      </c>
      <c r="P58" s="845" t="s">
        <v>2456</v>
      </c>
      <c r="R58" s="866">
        <v>1</v>
      </c>
      <c r="S58" s="1066">
        <v>0.75</v>
      </c>
      <c r="T58" s="1066">
        <v>0.75</v>
      </c>
      <c r="U58" s="1066">
        <v>0.75</v>
      </c>
    </row>
    <row r="59" spans="1:27" s="19" customFormat="1">
      <c r="A59" s="19">
        <v>5</v>
      </c>
      <c r="B59" s="845" t="str">
        <f t="shared" si="25"/>
        <v>Doors OS</v>
      </c>
      <c r="C59" s="1075">
        <f t="shared" si="26"/>
        <v>1.1499999999999999</v>
      </c>
      <c r="D59" s="1077">
        <f t="shared" ca="1" si="27"/>
        <v>7</v>
      </c>
      <c r="E59" s="1070">
        <f t="shared" ref="E59:N59" si="33">calcMMScoreProd3Offering1</f>
        <v>7</v>
      </c>
      <c r="F59" s="1070">
        <f t="shared" si="33"/>
        <v>7</v>
      </c>
      <c r="G59" s="1070">
        <f t="shared" si="33"/>
        <v>7</v>
      </c>
      <c r="H59" s="1070">
        <f t="shared" si="33"/>
        <v>7</v>
      </c>
      <c r="I59" s="1070">
        <f t="shared" si="33"/>
        <v>7</v>
      </c>
      <c r="J59" s="1070">
        <f t="shared" si="33"/>
        <v>7</v>
      </c>
      <c r="K59" s="1070">
        <f t="shared" si="33"/>
        <v>7</v>
      </c>
      <c r="L59" s="1070">
        <f t="shared" si="33"/>
        <v>7</v>
      </c>
      <c r="M59" s="1070">
        <f t="shared" si="33"/>
        <v>7</v>
      </c>
      <c r="N59" s="1070">
        <f t="shared" si="33"/>
        <v>7</v>
      </c>
      <c r="O59" s="865">
        <f t="shared" ca="1" si="29"/>
        <v>8.0499999999999989</v>
      </c>
      <c r="P59" s="845" t="s">
        <v>2457</v>
      </c>
      <c r="R59" s="866">
        <v>1</v>
      </c>
      <c r="S59" s="1066">
        <v>1.1499999999999999</v>
      </c>
      <c r="T59" s="1066">
        <v>1.1499999999999999</v>
      </c>
      <c r="U59" s="1066">
        <v>1.1499999999999999</v>
      </c>
    </row>
    <row r="60" spans="1:27" s="19" customFormat="1">
      <c r="A60" s="19">
        <v>6</v>
      </c>
      <c r="B60" s="845" t="str">
        <f t="shared" si="25"/>
        <v>Devices</v>
      </c>
      <c r="C60" s="1075">
        <f t="shared" si="26"/>
        <v>1.1499999999999999</v>
      </c>
      <c r="D60" s="1077">
        <f t="shared" ca="1" si="27"/>
        <v>6</v>
      </c>
      <c r="E60" s="1070">
        <f t="shared" ref="E60:N60" si="34">calcMMScoreProd3Offering2</f>
        <v>6</v>
      </c>
      <c r="F60" s="1070">
        <f t="shared" si="34"/>
        <v>6</v>
      </c>
      <c r="G60" s="1070">
        <f t="shared" si="34"/>
        <v>6</v>
      </c>
      <c r="H60" s="1070">
        <f t="shared" si="34"/>
        <v>6</v>
      </c>
      <c r="I60" s="1070">
        <f t="shared" si="34"/>
        <v>6</v>
      </c>
      <c r="J60" s="1070">
        <f t="shared" si="34"/>
        <v>6</v>
      </c>
      <c r="K60" s="1070">
        <f t="shared" si="34"/>
        <v>6</v>
      </c>
      <c r="L60" s="1070">
        <f t="shared" si="34"/>
        <v>6</v>
      </c>
      <c r="M60" s="1070">
        <f t="shared" si="34"/>
        <v>6</v>
      </c>
      <c r="N60" s="1070">
        <f t="shared" si="34"/>
        <v>6</v>
      </c>
      <c r="O60" s="865">
        <f t="shared" ca="1" si="29"/>
        <v>6.8999999999999995</v>
      </c>
      <c r="P60" s="845" t="s">
        <v>2458</v>
      </c>
      <c r="R60" s="866">
        <v>1</v>
      </c>
      <c r="S60" s="1066">
        <v>1.1499999999999999</v>
      </c>
      <c r="T60" s="1066">
        <v>1.75</v>
      </c>
      <c r="U60" s="1066">
        <v>1.75</v>
      </c>
    </row>
    <row r="61" spans="1:27" s="19" customFormat="1">
      <c r="A61" s="19">
        <v>7</v>
      </c>
      <c r="B61" s="845" t="str">
        <f t="shared" si="25"/>
        <v>Sales Force Effectiveness</v>
      </c>
      <c r="C61" s="1075">
        <f t="shared" si="26"/>
        <v>1.1499999999999999</v>
      </c>
      <c r="D61" s="1077">
        <f t="shared" ca="1" si="27"/>
        <v>262.39499999999998</v>
      </c>
      <c r="E61" s="1070">
        <f t="shared" ref="E61:N61" ca="1" si="35">calcSeg2DirectSalesforceMMScore</f>
        <v>262.39499999999998</v>
      </c>
      <c r="F61" s="1070">
        <f t="shared" ca="1" si="35"/>
        <v>262.39499999999998</v>
      </c>
      <c r="G61" s="1070">
        <f t="shared" ca="1" si="35"/>
        <v>262.39499999999998</v>
      </c>
      <c r="H61" s="1070">
        <f t="shared" ca="1" si="35"/>
        <v>262.39499999999998</v>
      </c>
      <c r="I61" s="1070">
        <f t="shared" ca="1" si="35"/>
        <v>262.39499999999998</v>
      </c>
      <c r="J61" s="1070">
        <f t="shared" ca="1" si="35"/>
        <v>262.39499999999998</v>
      </c>
      <c r="K61" s="1070">
        <f t="shared" ca="1" si="35"/>
        <v>262.39499999999998</v>
      </c>
      <c r="L61" s="1070">
        <f t="shared" ca="1" si="35"/>
        <v>262.39499999999998</v>
      </c>
      <c r="M61" s="1070">
        <f t="shared" ca="1" si="35"/>
        <v>262.39499999999998</v>
      </c>
      <c r="N61" s="1070">
        <f t="shared" ca="1" si="35"/>
        <v>262.39499999999998</v>
      </c>
      <c r="O61" s="865">
        <f t="shared" ca="1" si="29"/>
        <v>301.75424999999996</v>
      </c>
      <c r="P61" s="845" t="s">
        <v>2459</v>
      </c>
      <c r="R61" s="866">
        <v>1</v>
      </c>
      <c r="S61" s="1066">
        <v>1.1499999999999999</v>
      </c>
      <c r="T61" s="1066">
        <v>1.1499999999999999</v>
      </c>
      <c r="U61" s="1066">
        <v>1.1499999999999999</v>
      </c>
    </row>
    <row r="62" spans="1:27" s="19" customFormat="1">
      <c r="A62" s="19">
        <v>8</v>
      </c>
      <c r="B62" s="845" t="str">
        <f t="shared" si="25"/>
        <v>Partner Relationships</v>
      </c>
      <c r="C62" s="1075">
        <f t="shared" si="26"/>
        <v>0.75</v>
      </c>
      <c r="D62" s="1077">
        <f t="shared" ca="1" si="27"/>
        <v>4.7700000000000014</v>
      </c>
      <c r="E62" s="1070">
        <f t="shared" ref="E62:N62" si="36">calcProd1Seg2PartnerMMScore</f>
        <v>4.7700000000000005</v>
      </c>
      <c r="F62" s="1070">
        <f t="shared" si="36"/>
        <v>4.7700000000000005</v>
      </c>
      <c r="G62" s="1070">
        <f t="shared" si="36"/>
        <v>4.7700000000000005</v>
      </c>
      <c r="H62" s="1070">
        <f t="shared" si="36"/>
        <v>4.7700000000000005</v>
      </c>
      <c r="I62" s="1070">
        <f t="shared" si="36"/>
        <v>4.7700000000000005</v>
      </c>
      <c r="J62" s="1070">
        <f t="shared" si="36"/>
        <v>4.7700000000000005</v>
      </c>
      <c r="K62" s="1070">
        <f t="shared" si="36"/>
        <v>4.7700000000000005</v>
      </c>
      <c r="L62" s="1070">
        <f t="shared" si="36"/>
        <v>4.7700000000000005</v>
      </c>
      <c r="M62" s="1070">
        <f t="shared" si="36"/>
        <v>4.7700000000000005</v>
      </c>
      <c r="N62" s="1070">
        <f t="shared" si="36"/>
        <v>4.7700000000000005</v>
      </c>
      <c r="O62" s="865">
        <f t="shared" ca="1" si="29"/>
        <v>3.577500000000001</v>
      </c>
      <c r="P62" s="845" t="s">
        <v>2460</v>
      </c>
      <c r="R62" s="866">
        <v>1</v>
      </c>
      <c r="S62" s="1066">
        <v>0.75</v>
      </c>
      <c r="T62" s="1066">
        <v>0.75</v>
      </c>
      <c r="U62" s="1066">
        <v>0.75</v>
      </c>
    </row>
    <row r="63" spans="1:27" s="19" customFormat="1">
      <c r="C63" s="937"/>
      <c r="D63" s="1080"/>
      <c r="P63" s="845"/>
    </row>
    <row r="64" spans="1:27" s="19" customFormat="1">
      <c r="C64" s="937"/>
      <c r="D64" s="1080"/>
      <c r="P64" s="845"/>
    </row>
    <row r="65" spans="1:21" s="19" customFormat="1">
      <c r="B65" s="845" t="s">
        <v>772</v>
      </c>
      <c r="C65" s="1075">
        <f>CHOOSE(xxRound+1,R65,S65,T65,U65)</f>
        <v>0.75</v>
      </c>
      <c r="D65" s="1075">
        <f ca="1">AVERAGE(OFFSET($E65:$N65,0,0,1,xxNumOfTeams))</f>
        <v>0.68994382259548626</v>
      </c>
      <c r="E65" s="1083">
        <f t="shared" ref="E65:N65" si="37">cbalProd1Seg1RenRate</f>
        <v>0.68994382259548614</v>
      </c>
      <c r="F65" s="1083">
        <f t="shared" si="37"/>
        <v>0.68994382259548614</v>
      </c>
      <c r="G65" s="1083">
        <f t="shared" si="37"/>
        <v>0.68994382259548614</v>
      </c>
      <c r="H65" s="1083">
        <f t="shared" si="37"/>
        <v>0.68994382259548614</v>
      </c>
      <c r="I65" s="1083">
        <f t="shared" si="37"/>
        <v>0.68994382259548614</v>
      </c>
      <c r="J65" s="1083">
        <f t="shared" si="37"/>
        <v>0.68994382259548614</v>
      </c>
      <c r="K65" s="1083">
        <f t="shared" si="37"/>
        <v>0.68994382259548614</v>
      </c>
      <c r="L65" s="1083">
        <f t="shared" si="37"/>
        <v>0.68994382259548614</v>
      </c>
      <c r="M65" s="1083">
        <f t="shared" si="37"/>
        <v>0.68994382259548614</v>
      </c>
      <c r="N65" s="1083">
        <f t="shared" si="37"/>
        <v>0.68994382259548614</v>
      </c>
      <c r="O65" s="1084">
        <f ca="1">D65*$C65</f>
        <v>0.51745786694661466</v>
      </c>
      <c r="P65" s="845" t="s">
        <v>2461</v>
      </c>
      <c r="R65" s="866">
        <v>1</v>
      </c>
      <c r="S65" s="1066">
        <v>0.75</v>
      </c>
      <c r="T65" s="1066">
        <v>0.75</v>
      </c>
      <c r="U65" s="1066">
        <v>0.75</v>
      </c>
    </row>
    <row r="67" spans="1:21" s="19" customFormat="1">
      <c r="C67" s="937"/>
      <c r="D67" s="1080"/>
      <c r="P67" s="845"/>
    </row>
    <row r="68" spans="1:21" s="867" customFormat="1">
      <c r="A68" s="867" t="str">
        <f>nmProd1Seg3&amp;" Market Model Drivers &amp; Consumption"</f>
        <v>Productivity &amp; Business Consumer Market Model Drivers &amp; Consumption</v>
      </c>
      <c r="C68" s="1073"/>
      <c r="D68" s="1079"/>
      <c r="P68" s="868"/>
      <c r="R68" s="869" t="s">
        <v>765</v>
      </c>
      <c r="S68" s="869" t="s">
        <v>764</v>
      </c>
      <c r="T68" s="869" t="s">
        <v>763</v>
      </c>
      <c r="U68" s="869" t="s">
        <v>762</v>
      </c>
    </row>
    <row r="69" spans="1:21" s="19" customFormat="1">
      <c r="C69" s="937"/>
      <c r="D69" s="1080"/>
      <c r="P69" s="845"/>
    </row>
    <row r="70" spans="1:21" s="861" customFormat="1" ht="41.4" customHeight="1">
      <c r="B70" s="861" t="s">
        <v>2436</v>
      </c>
      <c r="C70" s="936" t="s">
        <v>2435</v>
      </c>
      <c r="D70" s="1081" t="s">
        <v>2898</v>
      </c>
      <c r="E70" s="861" t="str">
        <f t="shared" ref="E70:N70" si="38">decTeamName</f>
        <v>Nimbolt</v>
      </c>
      <c r="F70" s="861" t="str">
        <f t="shared" si="38"/>
        <v>Nimbolt</v>
      </c>
      <c r="G70" s="861" t="str">
        <f t="shared" si="38"/>
        <v>Nimbolt</v>
      </c>
      <c r="H70" s="861" t="str">
        <f t="shared" si="38"/>
        <v>Nimbolt</v>
      </c>
      <c r="I70" s="861" t="str">
        <f t="shared" si="38"/>
        <v>Nimbolt</v>
      </c>
      <c r="J70" s="861" t="str">
        <f t="shared" si="38"/>
        <v>Nimbolt</v>
      </c>
      <c r="K70" s="861" t="str">
        <f t="shared" si="38"/>
        <v>Nimbolt</v>
      </c>
      <c r="L70" s="861" t="str">
        <f t="shared" si="38"/>
        <v>Nimbolt</v>
      </c>
      <c r="M70" s="861" t="str">
        <f t="shared" si="38"/>
        <v>Nimbolt</v>
      </c>
      <c r="N70" s="861" t="str">
        <f t="shared" si="38"/>
        <v>Nimbolt</v>
      </c>
      <c r="O70" s="863" t="s">
        <v>749</v>
      </c>
      <c r="P70" s="864"/>
      <c r="R70" s="862" t="s">
        <v>2435</v>
      </c>
      <c r="S70" s="862" t="s">
        <v>2435</v>
      </c>
      <c r="T70" s="862" t="s">
        <v>2435</v>
      </c>
      <c r="U70" s="862" t="s">
        <v>2435</v>
      </c>
    </row>
    <row r="71" spans="1:21" s="19" customFormat="1">
      <c r="A71" s="19">
        <v>1</v>
      </c>
      <c r="B71" s="845" t="str">
        <f t="shared" ref="B71:B78" si="39">VLOOKUP($A71,tblMMProd1Drivers,2,FALSE)</f>
        <v>Price</v>
      </c>
      <c r="C71" s="1075">
        <f t="shared" ref="C71:C78" si="40">CHOOSE(xxRound+1,R71,S71,T71,U71)</f>
        <v>0.9</v>
      </c>
      <c r="D71" s="1077">
        <f t="shared" ref="D71:D78" ca="1" si="41">AVERAGE(OFFSET($E71:$N71,0,0,1,xxNumOfTeams))</f>
        <v>15</v>
      </c>
      <c r="E71" s="1069">
        <f t="shared" ref="E71:N71" si="42">CalcProd1Seg3Price</f>
        <v>15</v>
      </c>
      <c r="F71" s="1069">
        <f t="shared" si="42"/>
        <v>15</v>
      </c>
      <c r="G71" s="1069">
        <f t="shared" si="42"/>
        <v>15</v>
      </c>
      <c r="H71" s="1069">
        <f t="shared" si="42"/>
        <v>15</v>
      </c>
      <c r="I71" s="1069">
        <f t="shared" si="42"/>
        <v>15</v>
      </c>
      <c r="J71" s="1069">
        <f t="shared" si="42"/>
        <v>15</v>
      </c>
      <c r="K71" s="1069">
        <f t="shared" si="42"/>
        <v>15</v>
      </c>
      <c r="L71" s="1069">
        <f t="shared" si="42"/>
        <v>15</v>
      </c>
      <c r="M71" s="1069">
        <f t="shared" si="42"/>
        <v>15</v>
      </c>
      <c r="N71" s="1069">
        <f t="shared" si="42"/>
        <v>15</v>
      </c>
      <c r="O71" s="865">
        <f t="shared" ref="O71:O78" ca="1" si="43">D71*$C71</f>
        <v>13.5</v>
      </c>
      <c r="P71" s="845" t="s">
        <v>2462</v>
      </c>
      <c r="R71" s="866">
        <v>1</v>
      </c>
      <c r="S71" s="1066">
        <v>0.9</v>
      </c>
      <c r="T71" s="1066">
        <v>0.9</v>
      </c>
      <c r="U71" s="1066">
        <v>0.9</v>
      </c>
    </row>
    <row r="72" spans="1:21" s="19" customFormat="1">
      <c r="A72" s="19">
        <v>2</v>
      </c>
      <c r="B72" s="845" t="str">
        <f t="shared" si="39"/>
        <v>Security</v>
      </c>
      <c r="C72" s="1075">
        <f t="shared" si="40"/>
        <v>0.75</v>
      </c>
      <c r="D72" s="1077">
        <f t="shared" ca="1" si="41"/>
        <v>7</v>
      </c>
      <c r="E72" s="1070">
        <f t="shared" ref="E72:N72" si="44">calcMMScoreSecurity</f>
        <v>7</v>
      </c>
      <c r="F72" s="1070">
        <f t="shared" si="44"/>
        <v>7</v>
      </c>
      <c r="G72" s="1070">
        <f t="shared" si="44"/>
        <v>7</v>
      </c>
      <c r="H72" s="1070">
        <f t="shared" si="44"/>
        <v>7</v>
      </c>
      <c r="I72" s="1070">
        <f t="shared" si="44"/>
        <v>7</v>
      </c>
      <c r="J72" s="1070">
        <f t="shared" si="44"/>
        <v>7</v>
      </c>
      <c r="K72" s="1070">
        <f t="shared" si="44"/>
        <v>7</v>
      </c>
      <c r="L72" s="1070">
        <f t="shared" si="44"/>
        <v>7</v>
      </c>
      <c r="M72" s="1070">
        <f t="shared" si="44"/>
        <v>7</v>
      </c>
      <c r="N72" s="1070">
        <f t="shared" si="44"/>
        <v>7</v>
      </c>
      <c r="O72" s="865">
        <f t="shared" ca="1" si="43"/>
        <v>5.25</v>
      </c>
      <c r="P72" s="845" t="s">
        <v>2463</v>
      </c>
      <c r="R72" s="866">
        <v>0.97</v>
      </c>
      <c r="S72" s="1066">
        <v>0.75</v>
      </c>
      <c r="T72" s="1066">
        <v>0.4</v>
      </c>
      <c r="U72" s="1066">
        <v>0.4</v>
      </c>
    </row>
    <row r="73" spans="1:21" s="19" customFormat="1">
      <c r="A73" s="19">
        <v>3</v>
      </c>
      <c r="B73" s="845" t="str">
        <f t="shared" si="39"/>
        <v>Interoperability</v>
      </c>
      <c r="C73" s="1075">
        <f t="shared" si="40"/>
        <v>1.1499999999999999</v>
      </c>
      <c r="D73" s="1077">
        <f t="shared" ca="1" si="41"/>
        <v>4</v>
      </c>
      <c r="E73" s="1070">
        <f t="shared" ref="E73:N73" si="45">calcMMScoreInteroperability</f>
        <v>4</v>
      </c>
      <c r="F73" s="1070">
        <f t="shared" si="45"/>
        <v>4</v>
      </c>
      <c r="G73" s="1070">
        <f t="shared" si="45"/>
        <v>4</v>
      </c>
      <c r="H73" s="1070">
        <f t="shared" si="45"/>
        <v>4</v>
      </c>
      <c r="I73" s="1070">
        <f t="shared" si="45"/>
        <v>4</v>
      </c>
      <c r="J73" s="1070">
        <f t="shared" si="45"/>
        <v>4</v>
      </c>
      <c r="K73" s="1070">
        <f t="shared" si="45"/>
        <v>4</v>
      </c>
      <c r="L73" s="1070">
        <f t="shared" si="45"/>
        <v>4</v>
      </c>
      <c r="M73" s="1070">
        <f t="shared" si="45"/>
        <v>4</v>
      </c>
      <c r="N73" s="1070">
        <f t="shared" si="45"/>
        <v>4</v>
      </c>
      <c r="O73" s="865">
        <f t="shared" ca="1" si="43"/>
        <v>4.5999999999999996</v>
      </c>
      <c r="P73" s="845" t="s">
        <v>2464</v>
      </c>
      <c r="R73" s="866">
        <v>1</v>
      </c>
      <c r="S73" s="1066">
        <v>1.1499999999999999</v>
      </c>
      <c r="T73" s="1066">
        <v>1.1499999999999999</v>
      </c>
      <c r="U73" s="1066">
        <v>1.1499999999999999</v>
      </c>
    </row>
    <row r="74" spans="1:21" s="19" customFormat="1">
      <c r="A74" s="19">
        <v>4</v>
      </c>
      <c r="B74" s="845" t="str">
        <f t="shared" si="39"/>
        <v>Business Applications Offering</v>
      </c>
      <c r="C74" s="1075">
        <f t="shared" si="40"/>
        <v>0.75</v>
      </c>
      <c r="D74" s="1077">
        <f t="shared" ca="1" si="41"/>
        <v>14</v>
      </c>
      <c r="E74" s="1070">
        <f t="shared" ref="E74:N74" si="46">calcMMScoreProd1</f>
        <v>14</v>
      </c>
      <c r="F74" s="1070">
        <f t="shared" si="46"/>
        <v>14</v>
      </c>
      <c r="G74" s="1070">
        <f t="shared" si="46"/>
        <v>14</v>
      </c>
      <c r="H74" s="1070">
        <f t="shared" si="46"/>
        <v>14</v>
      </c>
      <c r="I74" s="1070">
        <f t="shared" si="46"/>
        <v>14</v>
      </c>
      <c r="J74" s="1070">
        <f t="shared" si="46"/>
        <v>14</v>
      </c>
      <c r="K74" s="1070">
        <f t="shared" si="46"/>
        <v>14</v>
      </c>
      <c r="L74" s="1070">
        <f t="shared" si="46"/>
        <v>14</v>
      </c>
      <c r="M74" s="1070">
        <f t="shared" si="46"/>
        <v>14</v>
      </c>
      <c r="N74" s="1070">
        <f t="shared" si="46"/>
        <v>14</v>
      </c>
      <c r="O74" s="865">
        <f t="shared" ca="1" si="43"/>
        <v>10.5</v>
      </c>
      <c r="P74" s="845" t="s">
        <v>2465</v>
      </c>
      <c r="R74" s="866">
        <v>1</v>
      </c>
      <c r="S74" s="1066">
        <v>0.75</v>
      </c>
      <c r="T74" s="1066">
        <v>0.75</v>
      </c>
      <c r="U74" s="1066">
        <v>0.75</v>
      </c>
    </row>
    <row r="75" spans="1:21" s="19" customFormat="1">
      <c r="A75" s="19">
        <v>5</v>
      </c>
      <c r="B75" s="845" t="str">
        <f t="shared" si="39"/>
        <v>Doors OS</v>
      </c>
      <c r="C75" s="1075">
        <f t="shared" si="40"/>
        <v>1.1499999999999999</v>
      </c>
      <c r="D75" s="1077">
        <f t="shared" ca="1" si="41"/>
        <v>7</v>
      </c>
      <c r="E75" s="1070">
        <f t="shared" ref="E75:N75" si="47">calcMMScoreProd3Offering1</f>
        <v>7</v>
      </c>
      <c r="F75" s="1070">
        <f t="shared" si="47"/>
        <v>7</v>
      </c>
      <c r="G75" s="1070">
        <f t="shared" si="47"/>
        <v>7</v>
      </c>
      <c r="H75" s="1070">
        <f t="shared" si="47"/>
        <v>7</v>
      </c>
      <c r="I75" s="1070">
        <f t="shared" si="47"/>
        <v>7</v>
      </c>
      <c r="J75" s="1070">
        <f t="shared" si="47"/>
        <v>7</v>
      </c>
      <c r="K75" s="1070">
        <f t="shared" si="47"/>
        <v>7</v>
      </c>
      <c r="L75" s="1070">
        <f t="shared" si="47"/>
        <v>7</v>
      </c>
      <c r="M75" s="1070">
        <f t="shared" si="47"/>
        <v>7</v>
      </c>
      <c r="N75" s="1070">
        <f t="shared" si="47"/>
        <v>7</v>
      </c>
      <c r="O75" s="865">
        <f t="shared" ca="1" si="43"/>
        <v>8.0499999999999989</v>
      </c>
      <c r="P75" s="845" t="s">
        <v>2466</v>
      </c>
      <c r="R75" s="866">
        <v>1</v>
      </c>
      <c r="S75" s="1066">
        <v>1.1499999999999999</v>
      </c>
      <c r="T75" s="1066">
        <v>1.1499999999999999</v>
      </c>
      <c r="U75" s="1066">
        <v>1.1499999999999999</v>
      </c>
    </row>
    <row r="76" spans="1:21" s="19" customFormat="1">
      <c r="A76" s="19">
        <v>6</v>
      </c>
      <c r="B76" s="845" t="str">
        <f t="shared" si="39"/>
        <v>Devices</v>
      </c>
      <c r="C76" s="1075">
        <f t="shared" si="40"/>
        <v>1.1499999999999999</v>
      </c>
      <c r="D76" s="1077">
        <f t="shared" ca="1" si="41"/>
        <v>6</v>
      </c>
      <c r="E76" s="1070">
        <f t="shared" ref="E76:N76" si="48">calcMMScoreProd3Offering2</f>
        <v>6</v>
      </c>
      <c r="F76" s="1070">
        <f t="shared" si="48"/>
        <v>6</v>
      </c>
      <c r="G76" s="1070">
        <f t="shared" si="48"/>
        <v>6</v>
      </c>
      <c r="H76" s="1070">
        <f t="shared" si="48"/>
        <v>6</v>
      </c>
      <c r="I76" s="1070">
        <f t="shared" si="48"/>
        <v>6</v>
      </c>
      <c r="J76" s="1070">
        <f t="shared" si="48"/>
        <v>6</v>
      </c>
      <c r="K76" s="1070">
        <f t="shared" si="48"/>
        <v>6</v>
      </c>
      <c r="L76" s="1070">
        <f t="shared" si="48"/>
        <v>6</v>
      </c>
      <c r="M76" s="1070">
        <f t="shared" si="48"/>
        <v>6</v>
      </c>
      <c r="N76" s="1070">
        <f t="shared" si="48"/>
        <v>6</v>
      </c>
      <c r="O76" s="865">
        <f t="shared" ca="1" si="43"/>
        <v>6.8999999999999995</v>
      </c>
      <c r="P76" s="845" t="s">
        <v>2467</v>
      </c>
      <c r="R76" s="866">
        <v>1</v>
      </c>
      <c r="S76" s="1066">
        <v>1.1499999999999999</v>
      </c>
      <c r="T76" s="1066">
        <v>1.75</v>
      </c>
      <c r="U76" s="1066">
        <v>1.75</v>
      </c>
    </row>
    <row r="77" spans="1:21" s="19" customFormat="1">
      <c r="A77" s="19">
        <v>7</v>
      </c>
      <c r="B77" s="845" t="str">
        <f t="shared" si="39"/>
        <v>Sales Force Effectiveness</v>
      </c>
      <c r="C77" s="1075">
        <f t="shared" si="40"/>
        <v>1.1499999999999999</v>
      </c>
      <c r="D77" s="1077">
        <f t="shared" ca="1" si="41"/>
        <v>199.5</v>
      </c>
      <c r="E77" s="1070">
        <f t="shared" ref="E77:N77" si="49">calcSeg3DirectSalesforceMMScore</f>
        <v>199.5</v>
      </c>
      <c r="F77" s="1070">
        <f t="shared" si="49"/>
        <v>199.5</v>
      </c>
      <c r="G77" s="1070">
        <f t="shared" si="49"/>
        <v>199.5</v>
      </c>
      <c r="H77" s="1070">
        <f t="shared" si="49"/>
        <v>199.5</v>
      </c>
      <c r="I77" s="1070">
        <f t="shared" si="49"/>
        <v>199.5</v>
      </c>
      <c r="J77" s="1070">
        <f t="shared" si="49"/>
        <v>199.5</v>
      </c>
      <c r="K77" s="1070">
        <f t="shared" si="49"/>
        <v>199.5</v>
      </c>
      <c r="L77" s="1070">
        <f t="shared" si="49"/>
        <v>199.5</v>
      </c>
      <c r="M77" s="1070">
        <f t="shared" si="49"/>
        <v>199.5</v>
      </c>
      <c r="N77" s="1070">
        <f t="shared" si="49"/>
        <v>199.5</v>
      </c>
      <c r="O77" s="865">
        <f t="shared" ca="1" si="43"/>
        <v>229.42499999999998</v>
      </c>
      <c r="P77" s="845" t="s">
        <v>2468</v>
      </c>
      <c r="R77" s="866">
        <v>1</v>
      </c>
      <c r="S77" s="1066">
        <v>1.1499999999999999</v>
      </c>
      <c r="T77" s="1066">
        <v>1.1499999999999999</v>
      </c>
      <c r="U77" s="1066">
        <v>1.1499999999999999</v>
      </c>
    </row>
    <row r="78" spans="1:21" s="19" customFormat="1">
      <c r="A78" s="19">
        <v>8</v>
      </c>
      <c r="B78" s="845" t="str">
        <f t="shared" si="39"/>
        <v>Partner Relationships</v>
      </c>
      <c r="C78" s="1075">
        <f t="shared" si="40"/>
        <v>0.75</v>
      </c>
      <c r="D78" s="1077">
        <f t="shared" ca="1" si="41"/>
        <v>5.9399999999999995</v>
      </c>
      <c r="E78" s="1070">
        <f t="shared" ref="E78:N78" si="50">calcProd1Seg3PartnerMMScore</f>
        <v>5.94</v>
      </c>
      <c r="F78" s="1070">
        <f t="shared" si="50"/>
        <v>5.94</v>
      </c>
      <c r="G78" s="1070">
        <f t="shared" si="50"/>
        <v>5.94</v>
      </c>
      <c r="H78" s="1070">
        <f t="shared" si="50"/>
        <v>5.94</v>
      </c>
      <c r="I78" s="1070">
        <f t="shared" si="50"/>
        <v>5.94</v>
      </c>
      <c r="J78" s="1070">
        <f t="shared" si="50"/>
        <v>5.94</v>
      </c>
      <c r="K78" s="1070">
        <f t="shared" si="50"/>
        <v>5.94</v>
      </c>
      <c r="L78" s="1070">
        <f t="shared" si="50"/>
        <v>5.94</v>
      </c>
      <c r="M78" s="1070">
        <f t="shared" si="50"/>
        <v>5.94</v>
      </c>
      <c r="N78" s="1070">
        <f t="shared" si="50"/>
        <v>5.94</v>
      </c>
      <c r="O78" s="865">
        <f t="shared" ca="1" si="43"/>
        <v>4.4550000000000001</v>
      </c>
      <c r="P78" s="845" t="s">
        <v>2469</v>
      </c>
      <c r="R78" s="866">
        <v>1</v>
      </c>
      <c r="S78" s="1066">
        <v>0.75</v>
      </c>
      <c r="T78" s="1066">
        <v>0.75</v>
      </c>
      <c r="U78" s="1066">
        <v>0.75</v>
      </c>
    </row>
    <row r="79" spans="1:21" s="19" customFormat="1">
      <c r="C79" s="937"/>
      <c r="D79" s="1080"/>
      <c r="P79" s="845"/>
    </row>
    <row r="80" spans="1:21" s="19" customFormat="1">
      <c r="C80" s="937"/>
      <c r="D80" s="1080"/>
      <c r="P80" s="845"/>
    </row>
    <row r="81" spans="1:21" s="19" customFormat="1">
      <c r="B81" s="845" t="s">
        <v>772</v>
      </c>
      <c r="C81" s="1075">
        <f>CHOOSE(xxRound+1,R81,S81,T81,U81)</f>
        <v>0.75</v>
      </c>
      <c r="D81" s="1075">
        <f ca="1">AVERAGE(OFFSET($E81:$N81,0,0,1,xxNumOfTeams))</f>
        <v>0.68994382259548626</v>
      </c>
      <c r="E81" s="1083">
        <f t="shared" ref="E81:N81" si="51">cbalProd1Seg1RenRate</f>
        <v>0.68994382259548614</v>
      </c>
      <c r="F81" s="1083">
        <f t="shared" si="51"/>
        <v>0.68994382259548614</v>
      </c>
      <c r="G81" s="1083">
        <f t="shared" si="51"/>
        <v>0.68994382259548614</v>
      </c>
      <c r="H81" s="1083">
        <f t="shared" si="51"/>
        <v>0.68994382259548614</v>
      </c>
      <c r="I81" s="1083">
        <f t="shared" si="51"/>
        <v>0.68994382259548614</v>
      </c>
      <c r="J81" s="1083">
        <f t="shared" si="51"/>
        <v>0.68994382259548614</v>
      </c>
      <c r="K81" s="1083">
        <f t="shared" si="51"/>
        <v>0.68994382259548614</v>
      </c>
      <c r="L81" s="1083">
        <f t="shared" si="51"/>
        <v>0.68994382259548614</v>
      </c>
      <c r="M81" s="1083">
        <f t="shared" si="51"/>
        <v>0.68994382259548614</v>
      </c>
      <c r="N81" s="1083">
        <f t="shared" si="51"/>
        <v>0.68994382259548614</v>
      </c>
      <c r="O81" s="1084">
        <f ca="1">D81*$C81</f>
        <v>0.51745786694661466</v>
      </c>
      <c r="P81" s="845" t="s">
        <v>2470</v>
      </c>
      <c r="R81" s="866">
        <v>1</v>
      </c>
      <c r="S81" s="1066">
        <v>0.75</v>
      </c>
      <c r="T81" s="1066">
        <v>0.75</v>
      </c>
      <c r="U81" s="1066">
        <v>0.75</v>
      </c>
    </row>
    <row r="83" spans="1:21" s="19" customFormat="1">
      <c r="C83" s="937"/>
      <c r="D83" s="1080"/>
      <c r="P83" s="845"/>
      <c r="R83" s="498"/>
      <c r="S83" s="498"/>
      <c r="T83" s="498"/>
      <c r="U83" s="498"/>
    </row>
    <row r="84" spans="1:21" s="867" customFormat="1">
      <c r="A84" s="867" t="str">
        <f>nmProd2Seg1&amp;" Market Model Drivers &amp; Consumption"</f>
        <v>Intelligent Cloud Enterprise Market Model Drivers &amp; Consumption</v>
      </c>
      <c r="C84" s="1073"/>
      <c r="D84" s="1079"/>
      <c r="P84" s="868"/>
      <c r="R84" s="869" t="s">
        <v>765</v>
      </c>
      <c r="S84" s="869" t="s">
        <v>764</v>
      </c>
      <c r="T84" s="869" t="s">
        <v>763</v>
      </c>
      <c r="U84" s="869" t="s">
        <v>762</v>
      </c>
    </row>
    <row r="85" spans="1:21" s="19" customFormat="1">
      <c r="C85" s="937"/>
      <c r="D85" s="1080"/>
      <c r="P85" s="845"/>
    </row>
    <row r="86" spans="1:21" s="861" customFormat="1" ht="41.4" customHeight="1">
      <c r="B86" s="861" t="s">
        <v>2436</v>
      </c>
      <c r="C86" s="936" t="s">
        <v>2435</v>
      </c>
      <c r="D86" s="1081" t="s">
        <v>2898</v>
      </c>
      <c r="E86" s="861" t="str">
        <f t="shared" ref="E86:N86" si="52">decTeamName</f>
        <v>Nimbolt</v>
      </c>
      <c r="F86" s="861" t="str">
        <f t="shared" si="52"/>
        <v>Nimbolt</v>
      </c>
      <c r="G86" s="861" t="str">
        <f t="shared" si="52"/>
        <v>Nimbolt</v>
      </c>
      <c r="H86" s="861" t="str">
        <f t="shared" si="52"/>
        <v>Nimbolt</v>
      </c>
      <c r="I86" s="861" t="str">
        <f t="shared" si="52"/>
        <v>Nimbolt</v>
      </c>
      <c r="J86" s="861" t="str">
        <f t="shared" si="52"/>
        <v>Nimbolt</v>
      </c>
      <c r="K86" s="861" t="str">
        <f t="shared" si="52"/>
        <v>Nimbolt</v>
      </c>
      <c r="L86" s="861" t="str">
        <f t="shared" si="52"/>
        <v>Nimbolt</v>
      </c>
      <c r="M86" s="861" t="str">
        <f t="shared" si="52"/>
        <v>Nimbolt</v>
      </c>
      <c r="N86" s="861" t="str">
        <f t="shared" si="52"/>
        <v>Nimbolt</v>
      </c>
      <c r="O86" s="863" t="s">
        <v>749</v>
      </c>
      <c r="P86" s="864"/>
      <c r="R86" s="862" t="s">
        <v>2435</v>
      </c>
      <c r="S86" s="862" t="s">
        <v>2435</v>
      </c>
      <c r="T86" s="862" t="s">
        <v>2435</v>
      </c>
      <c r="U86" s="862" t="s">
        <v>2435</v>
      </c>
    </row>
    <row r="87" spans="1:21" s="19" customFormat="1">
      <c r="A87" s="19">
        <v>1</v>
      </c>
      <c r="B87" s="845" t="str">
        <f t="shared" ref="B87:B92" si="53">VLOOKUP($A87,tblMMProd2Drivers,2,FALSE)</f>
        <v>Price</v>
      </c>
      <c r="C87" s="1075">
        <f t="shared" ref="C87:C92" si="54">CHOOSE(xxRound+1,R87,S87,T87,U87)</f>
        <v>0.9</v>
      </c>
      <c r="D87" s="1077">
        <f t="shared" ref="D87:D92" ca="1" si="55">AVERAGE(OFFSET($E87:$N87,0,0,1,xxNumOfTeams))</f>
        <v>50</v>
      </c>
      <c r="E87" s="1069">
        <f t="shared" ref="E87:N87" si="56">CalcProd2Seg1Price</f>
        <v>50</v>
      </c>
      <c r="F87" s="1069">
        <f t="shared" si="56"/>
        <v>50</v>
      </c>
      <c r="G87" s="1069">
        <f t="shared" si="56"/>
        <v>50</v>
      </c>
      <c r="H87" s="1069">
        <f t="shared" si="56"/>
        <v>50</v>
      </c>
      <c r="I87" s="1069">
        <f t="shared" si="56"/>
        <v>50</v>
      </c>
      <c r="J87" s="1069">
        <f t="shared" si="56"/>
        <v>50</v>
      </c>
      <c r="K87" s="1069">
        <f t="shared" si="56"/>
        <v>50</v>
      </c>
      <c r="L87" s="1069">
        <f t="shared" si="56"/>
        <v>50</v>
      </c>
      <c r="M87" s="1069">
        <f t="shared" si="56"/>
        <v>50</v>
      </c>
      <c r="N87" s="1069">
        <f t="shared" si="56"/>
        <v>50</v>
      </c>
      <c r="O87" s="865">
        <f t="shared" ref="O87:O92" ca="1" si="57">D87*$C87</f>
        <v>45</v>
      </c>
      <c r="P87" s="845" t="s">
        <v>2471</v>
      </c>
      <c r="R87" s="866">
        <v>1</v>
      </c>
      <c r="S87" s="1066">
        <v>0.9</v>
      </c>
      <c r="T87" s="1066">
        <v>0.9</v>
      </c>
      <c r="U87" s="1066">
        <v>0.9</v>
      </c>
    </row>
    <row r="88" spans="1:21" s="19" customFormat="1">
      <c r="A88" s="19">
        <v>2</v>
      </c>
      <c r="B88" s="845" t="str">
        <f t="shared" si="53"/>
        <v>Security</v>
      </c>
      <c r="C88" s="1075">
        <f t="shared" si="54"/>
        <v>0.75</v>
      </c>
      <c r="D88" s="1077">
        <f t="shared" ca="1" si="55"/>
        <v>7</v>
      </c>
      <c r="E88" s="1070">
        <f t="shared" ref="E88:N88" si="58">calcMMScoreSecurity</f>
        <v>7</v>
      </c>
      <c r="F88" s="1070">
        <f t="shared" si="58"/>
        <v>7</v>
      </c>
      <c r="G88" s="1070">
        <f t="shared" si="58"/>
        <v>7</v>
      </c>
      <c r="H88" s="1070">
        <f t="shared" si="58"/>
        <v>7</v>
      </c>
      <c r="I88" s="1070">
        <f t="shared" si="58"/>
        <v>7</v>
      </c>
      <c r="J88" s="1070">
        <f t="shared" si="58"/>
        <v>7</v>
      </c>
      <c r="K88" s="1070">
        <f t="shared" si="58"/>
        <v>7</v>
      </c>
      <c r="L88" s="1070">
        <f t="shared" si="58"/>
        <v>7</v>
      </c>
      <c r="M88" s="1070">
        <f t="shared" si="58"/>
        <v>7</v>
      </c>
      <c r="N88" s="1070">
        <f t="shared" si="58"/>
        <v>7</v>
      </c>
      <c r="O88" s="865">
        <f t="shared" ca="1" si="57"/>
        <v>5.25</v>
      </c>
      <c r="P88" s="845" t="s">
        <v>2472</v>
      </c>
      <c r="R88" s="866">
        <v>0.97</v>
      </c>
      <c r="S88" s="1066">
        <v>0.75</v>
      </c>
      <c r="T88" s="1066">
        <v>0.75</v>
      </c>
      <c r="U88" s="1066">
        <v>0.75</v>
      </c>
    </row>
    <row r="89" spans="1:21" s="19" customFormat="1">
      <c r="A89" s="19">
        <v>3</v>
      </c>
      <c r="B89" s="845" t="str">
        <f t="shared" si="53"/>
        <v>Interoperability</v>
      </c>
      <c r="C89" s="1075">
        <f t="shared" si="54"/>
        <v>1.25</v>
      </c>
      <c r="D89" s="1077">
        <f t="shared" ca="1" si="55"/>
        <v>4</v>
      </c>
      <c r="E89" s="1070">
        <f t="shared" ref="E89:N89" si="59">calcMMScoreInteroperability</f>
        <v>4</v>
      </c>
      <c r="F89" s="1070">
        <f t="shared" si="59"/>
        <v>4</v>
      </c>
      <c r="G89" s="1070">
        <f t="shared" si="59"/>
        <v>4</v>
      </c>
      <c r="H89" s="1070">
        <f t="shared" si="59"/>
        <v>4</v>
      </c>
      <c r="I89" s="1070">
        <f t="shared" si="59"/>
        <v>4</v>
      </c>
      <c r="J89" s="1070">
        <f t="shared" si="59"/>
        <v>4</v>
      </c>
      <c r="K89" s="1070">
        <f t="shared" si="59"/>
        <v>4</v>
      </c>
      <c r="L89" s="1070">
        <f t="shared" si="59"/>
        <v>4</v>
      </c>
      <c r="M89" s="1070">
        <f t="shared" si="59"/>
        <v>4</v>
      </c>
      <c r="N89" s="1070">
        <f t="shared" si="59"/>
        <v>4</v>
      </c>
      <c r="O89" s="865">
        <f t="shared" ca="1" si="57"/>
        <v>5</v>
      </c>
      <c r="P89" s="845" t="s">
        <v>2473</v>
      </c>
      <c r="R89" s="866">
        <v>1</v>
      </c>
      <c r="S89" s="1066">
        <v>1.25</v>
      </c>
      <c r="T89" s="1066">
        <v>1.25</v>
      </c>
      <c r="U89" s="1066">
        <v>1.25</v>
      </c>
    </row>
    <row r="90" spans="1:21" s="19" customFormat="1">
      <c r="A90" s="19">
        <v>4</v>
      </c>
      <c r="B90" s="845" t="str">
        <f t="shared" si="53"/>
        <v>Applications &amp; Infrastructure/Data &amp; AI Offering</v>
      </c>
      <c r="C90" s="1075">
        <f t="shared" si="54"/>
        <v>1.1499999999999999</v>
      </c>
      <c r="D90" s="1077">
        <f t="shared" ca="1" si="55"/>
        <v>4</v>
      </c>
      <c r="E90" s="1070">
        <f t="shared" ref="E90:N90" si="60">calcMMScoreProd2</f>
        <v>4</v>
      </c>
      <c r="F90" s="1070">
        <f t="shared" si="60"/>
        <v>4</v>
      </c>
      <c r="G90" s="1070">
        <f t="shared" si="60"/>
        <v>4</v>
      </c>
      <c r="H90" s="1070">
        <f t="shared" si="60"/>
        <v>4</v>
      </c>
      <c r="I90" s="1070">
        <f t="shared" si="60"/>
        <v>4</v>
      </c>
      <c r="J90" s="1070">
        <f t="shared" si="60"/>
        <v>4</v>
      </c>
      <c r="K90" s="1070">
        <f t="shared" si="60"/>
        <v>4</v>
      </c>
      <c r="L90" s="1070">
        <f t="shared" si="60"/>
        <v>4</v>
      </c>
      <c r="M90" s="1070">
        <f t="shared" si="60"/>
        <v>4</v>
      </c>
      <c r="N90" s="1070">
        <f t="shared" si="60"/>
        <v>4</v>
      </c>
      <c r="O90" s="865">
        <f t="shared" ca="1" si="57"/>
        <v>4.5999999999999996</v>
      </c>
      <c r="P90" s="845" t="s">
        <v>2474</v>
      </c>
      <c r="R90" s="866">
        <v>1</v>
      </c>
      <c r="S90" s="1066">
        <v>1.1499999999999999</v>
      </c>
      <c r="T90" s="1066">
        <v>1.1499999999999999</v>
      </c>
      <c r="U90" s="1066">
        <v>1.1499999999999999</v>
      </c>
    </row>
    <row r="91" spans="1:21" s="19" customFormat="1">
      <c r="A91" s="19">
        <v>5</v>
      </c>
      <c r="B91" s="845" t="str">
        <f t="shared" si="53"/>
        <v>Sales Force Effectiveness</v>
      </c>
      <c r="C91" s="1075">
        <f t="shared" si="54"/>
        <v>1.1499999999999999</v>
      </c>
      <c r="D91" s="1077">
        <f t="shared" ca="1" si="55"/>
        <v>267.75</v>
      </c>
      <c r="E91" s="1070">
        <f t="shared" ref="E91:N91" si="61">calcSeg1DirectSalesforceMMScore</f>
        <v>267.75</v>
      </c>
      <c r="F91" s="1070">
        <f t="shared" si="61"/>
        <v>267.75</v>
      </c>
      <c r="G91" s="1070">
        <f t="shared" si="61"/>
        <v>267.75</v>
      </c>
      <c r="H91" s="1070">
        <f t="shared" si="61"/>
        <v>267.75</v>
      </c>
      <c r="I91" s="1070">
        <f t="shared" si="61"/>
        <v>267.75</v>
      </c>
      <c r="J91" s="1070">
        <f t="shared" si="61"/>
        <v>267.75</v>
      </c>
      <c r="K91" s="1070">
        <f t="shared" si="61"/>
        <v>267.75</v>
      </c>
      <c r="L91" s="1070">
        <f t="shared" si="61"/>
        <v>267.75</v>
      </c>
      <c r="M91" s="1070">
        <f t="shared" si="61"/>
        <v>267.75</v>
      </c>
      <c r="N91" s="1070">
        <f t="shared" si="61"/>
        <v>267.75</v>
      </c>
      <c r="O91" s="865">
        <f t="shared" ca="1" si="57"/>
        <v>307.91249999999997</v>
      </c>
      <c r="P91" s="845" t="s">
        <v>2475</v>
      </c>
      <c r="R91" s="866">
        <v>1</v>
      </c>
      <c r="S91" s="1066">
        <v>1.1499999999999999</v>
      </c>
      <c r="T91" s="1066">
        <v>1.1499999999999999</v>
      </c>
      <c r="U91" s="1066">
        <v>1.1499999999999999</v>
      </c>
    </row>
    <row r="92" spans="1:21" s="19" customFormat="1">
      <c r="A92" s="19">
        <v>6</v>
      </c>
      <c r="B92" s="845" t="str">
        <f t="shared" si="53"/>
        <v>Partner Relationships</v>
      </c>
      <c r="C92" s="1075">
        <f t="shared" si="54"/>
        <v>0.75</v>
      </c>
      <c r="D92" s="1077">
        <f t="shared" ca="1" si="55"/>
        <v>4.2300000000000013</v>
      </c>
      <c r="E92" s="1070">
        <f t="shared" ref="E92:N92" si="62">calcProd2Seg1PartnerMMScore</f>
        <v>4.2300000000000004</v>
      </c>
      <c r="F92" s="1070">
        <f t="shared" si="62"/>
        <v>4.2300000000000004</v>
      </c>
      <c r="G92" s="1070">
        <f t="shared" si="62"/>
        <v>4.2300000000000004</v>
      </c>
      <c r="H92" s="1070">
        <f t="shared" si="62"/>
        <v>4.2300000000000004</v>
      </c>
      <c r="I92" s="1070">
        <f t="shared" si="62"/>
        <v>4.2300000000000004</v>
      </c>
      <c r="J92" s="1070">
        <f t="shared" si="62"/>
        <v>4.2300000000000004</v>
      </c>
      <c r="K92" s="1070">
        <f t="shared" si="62"/>
        <v>4.2300000000000004</v>
      </c>
      <c r="L92" s="1070">
        <f t="shared" si="62"/>
        <v>4.2300000000000004</v>
      </c>
      <c r="M92" s="1070">
        <f t="shared" si="62"/>
        <v>4.2300000000000004</v>
      </c>
      <c r="N92" s="1070">
        <f t="shared" si="62"/>
        <v>4.2300000000000004</v>
      </c>
      <c r="O92" s="865">
        <f t="shared" ca="1" si="57"/>
        <v>3.1725000000000012</v>
      </c>
      <c r="P92" s="845" t="s">
        <v>2476</v>
      </c>
      <c r="R92" s="866">
        <v>1</v>
      </c>
      <c r="S92" s="1066">
        <v>0.75</v>
      </c>
      <c r="T92" s="1066">
        <v>0.75</v>
      </c>
      <c r="U92" s="1066">
        <v>0.75</v>
      </c>
    </row>
    <row r="93" spans="1:21" s="19" customFormat="1">
      <c r="C93" s="937"/>
      <c r="D93" s="1080"/>
      <c r="P93" s="845"/>
    </row>
    <row r="94" spans="1:21" s="19" customFormat="1">
      <c r="C94" s="937"/>
      <c r="D94" s="1080"/>
      <c r="P94" s="845"/>
    </row>
    <row r="95" spans="1:21" s="19" customFormat="1">
      <c r="B95" s="845" t="s">
        <v>772</v>
      </c>
      <c r="C95" s="1075">
        <f>CHOOSE(xxRound+1,R95,S95,T95,U95)</f>
        <v>0.75</v>
      </c>
      <c r="D95" s="1075">
        <f ca="1">AVERAGE(OFFSET($E95:$N95,0,0,1,xxNumOfTeams))</f>
        <v>0.68994382259548626</v>
      </c>
      <c r="E95" s="1083">
        <f t="shared" ref="E95:N95" si="63">cbalProd2Seg1RenRate</f>
        <v>0.68994382259548614</v>
      </c>
      <c r="F95" s="1083">
        <f t="shared" si="63"/>
        <v>0.68994382259548614</v>
      </c>
      <c r="G95" s="1083">
        <f t="shared" si="63"/>
        <v>0.68994382259548614</v>
      </c>
      <c r="H95" s="1083">
        <f t="shared" si="63"/>
        <v>0.68994382259548614</v>
      </c>
      <c r="I95" s="1083">
        <f t="shared" si="63"/>
        <v>0.68994382259548614</v>
      </c>
      <c r="J95" s="1083">
        <f t="shared" si="63"/>
        <v>0.68994382259548614</v>
      </c>
      <c r="K95" s="1083">
        <f t="shared" si="63"/>
        <v>0.68994382259548614</v>
      </c>
      <c r="L95" s="1083">
        <f t="shared" si="63"/>
        <v>0.68994382259548614</v>
      </c>
      <c r="M95" s="1083">
        <f t="shared" si="63"/>
        <v>0.68994382259548614</v>
      </c>
      <c r="N95" s="1083">
        <f t="shared" si="63"/>
        <v>0.68994382259548614</v>
      </c>
      <c r="O95" s="1084">
        <f ca="1">D95*$C95</f>
        <v>0.51745786694661466</v>
      </c>
      <c r="P95" s="845" t="s">
        <v>2477</v>
      </c>
      <c r="R95" s="866">
        <v>1</v>
      </c>
      <c r="S95" s="1066">
        <v>0.75</v>
      </c>
      <c r="T95" s="1066">
        <v>0.75</v>
      </c>
      <c r="U95" s="1066">
        <v>0.75</v>
      </c>
    </row>
    <row r="96" spans="1:21" s="19" customFormat="1">
      <c r="C96" s="937"/>
      <c r="D96" s="1080"/>
      <c r="P96" s="845"/>
      <c r="R96" s="498"/>
      <c r="S96" s="498"/>
      <c r="T96" s="498"/>
      <c r="U96" s="498"/>
    </row>
    <row r="97" spans="1:21" s="867" customFormat="1">
      <c r="A97" s="867" t="str">
        <f>nmProd2Seg2&amp;" Market Model Drivers &amp; Consumption"</f>
        <v>Intelligent Cloud SMC Market Model Drivers &amp; Consumption</v>
      </c>
      <c r="C97" s="1073"/>
      <c r="D97" s="1079"/>
      <c r="P97" s="868"/>
      <c r="R97" s="869" t="s">
        <v>765</v>
      </c>
      <c r="S97" s="869" t="s">
        <v>764</v>
      </c>
      <c r="T97" s="869" t="s">
        <v>763</v>
      </c>
      <c r="U97" s="869" t="s">
        <v>762</v>
      </c>
    </row>
    <row r="98" spans="1:21" s="19" customFormat="1">
      <c r="C98" s="937"/>
      <c r="D98" s="1080"/>
      <c r="P98" s="845"/>
    </row>
    <row r="99" spans="1:21" s="861" customFormat="1" ht="41.4" customHeight="1">
      <c r="B99" s="861" t="s">
        <v>2436</v>
      </c>
      <c r="C99" s="936" t="s">
        <v>2435</v>
      </c>
      <c r="D99" s="1081" t="s">
        <v>2898</v>
      </c>
      <c r="E99" s="861" t="str">
        <f t="shared" ref="E99:N99" si="64">decTeamName</f>
        <v>Nimbolt</v>
      </c>
      <c r="F99" s="861" t="str">
        <f t="shared" si="64"/>
        <v>Nimbolt</v>
      </c>
      <c r="G99" s="861" t="str">
        <f t="shared" si="64"/>
        <v>Nimbolt</v>
      </c>
      <c r="H99" s="861" t="str">
        <f t="shared" si="64"/>
        <v>Nimbolt</v>
      </c>
      <c r="I99" s="861" t="str">
        <f t="shared" si="64"/>
        <v>Nimbolt</v>
      </c>
      <c r="J99" s="861" t="str">
        <f t="shared" si="64"/>
        <v>Nimbolt</v>
      </c>
      <c r="K99" s="861" t="str">
        <f t="shared" si="64"/>
        <v>Nimbolt</v>
      </c>
      <c r="L99" s="861" t="str">
        <f t="shared" si="64"/>
        <v>Nimbolt</v>
      </c>
      <c r="M99" s="861" t="str">
        <f t="shared" si="64"/>
        <v>Nimbolt</v>
      </c>
      <c r="N99" s="861" t="str">
        <f t="shared" si="64"/>
        <v>Nimbolt</v>
      </c>
      <c r="O99" s="863" t="s">
        <v>749</v>
      </c>
      <c r="P99" s="864"/>
      <c r="R99" s="862" t="s">
        <v>2435</v>
      </c>
      <c r="S99" s="862" t="s">
        <v>2435</v>
      </c>
      <c r="T99" s="862" t="s">
        <v>2435</v>
      </c>
      <c r="U99" s="862" t="s">
        <v>2435</v>
      </c>
    </row>
    <row r="100" spans="1:21" s="19" customFormat="1">
      <c r="A100" s="19">
        <v>1</v>
      </c>
      <c r="B100" s="845" t="str">
        <f t="shared" ref="B100:B105" si="65">VLOOKUP($A100,tblMMProd2Drivers,2,FALSE)</f>
        <v>Price</v>
      </c>
      <c r="C100" s="1075">
        <f t="shared" ref="C100:C105" si="66">CHOOSE(xxRound+1,R100,S100,T100,U100)</f>
        <v>0.9</v>
      </c>
      <c r="D100" s="1077">
        <f t="shared" ref="D100:D105" ca="1" si="67">AVERAGE(OFFSET($E100:$N100,0,0,1,xxNumOfTeams))</f>
        <v>50</v>
      </c>
      <c r="E100" s="1069">
        <f t="shared" ref="E100:N100" si="68">CalcProd2Seg2Price</f>
        <v>50</v>
      </c>
      <c r="F100" s="1069">
        <f t="shared" si="68"/>
        <v>50</v>
      </c>
      <c r="G100" s="1069">
        <f t="shared" si="68"/>
        <v>50</v>
      </c>
      <c r="H100" s="1069">
        <f t="shared" si="68"/>
        <v>50</v>
      </c>
      <c r="I100" s="1069">
        <f t="shared" si="68"/>
        <v>50</v>
      </c>
      <c r="J100" s="1069">
        <f t="shared" si="68"/>
        <v>50</v>
      </c>
      <c r="K100" s="1069">
        <f t="shared" si="68"/>
        <v>50</v>
      </c>
      <c r="L100" s="1069">
        <f t="shared" si="68"/>
        <v>50</v>
      </c>
      <c r="M100" s="1069">
        <f t="shared" si="68"/>
        <v>50</v>
      </c>
      <c r="N100" s="1069">
        <f t="shared" si="68"/>
        <v>50</v>
      </c>
      <c r="O100" s="865">
        <f t="shared" ref="O100:O105" ca="1" si="69">D100*$C100</f>
        <v>45</v>
      </c>
      <c r="P100" s="845" t="s">
        <v>2496</v>
      </c>
      <c r="R100" s="866">
        <v>1</v>
      </c>
      <c r="S100" s="1066">
        <v>0.9</v>
      </c>
      <c r="T100" s="1066">
        <v>0.9</v>
      </c>
      <c r="U100" s="1066">
        <v>0.9</v>
      </c>
    </row>
    <row r="101" spans="1:21" s="19" customFormat="1">
      <c r="A101" s="19">
        <v>2</v>
      </c>
      <c r="B101" s="845" t="str">
        <f t="shared" si="65"/>
        <v>Security</v>
      </c>
      <c r="C101" s="1075">
        <f t="shared" si="66"/>
        <v>0.75</v>
      </c>
      <c r="D101" s="1077">
        <f t="shared" ca="1" si="67"/>
        <v>7</v>
      </c>
      <c r="E101" s="1070">
        <f t="shared" ref="E101:N101" si="70">calcMMScoreSecurity</f>
        <v>7</v>
      </c>
      <c r="F101" s="1070">
        <f t="shared" si="70"/>
        <v>7</v>
      </c>
      <c r="G101" s="1070">
        <f t="shared" si="70"/>
        <v>7</v>
      </c>
      <c r="H101" s="1070">
        <f t="shared" si="70"/>
        <v>7</v>
      </c>
      <c r="I101" s="1070">
        <f t="shared" si="70"/>
        <v>7</v>
      </c>
      <c r="J101" s="1070">
        <f t="shared" si="70"/>
        <v>7</v>
      </c>
      <c r="K101" s="1070">
        <f t="shared" si="70"/>
        <v>7</v>
      </c>
      <c r="L101" s="1070">
        <f t="shared" si="70"/>
        <v>7</v>
      </c>
      <c r="M101" s="1070">
        <f t="shared" si="70"/>
        <v>7</v>
      </c>
      <c r="N101" s="1070">
        <f t="shared" si="70"/>
        <v>7</v>
      </c>
      <c r="O101" s="865">
        <f t="shared" ca="1" si="69"/>
        <v>5.25</v>
      </c>
      <c r="P101" s="845" t="s">
        <v>2497</v>
      </c>
      <c r="R101" s="866">
        <v>1</v>
      </c>
      <c r="S101" s="1066">
        <v>0.75</v>
      </c>
      <c r="T101" s="1066">
        <v>0.75</v>
      </c>
      <c r="U101" s="1066">
        <v>0.75</v>
      </c>
    </row>
    <row r="102" spans="1:21" s="19" customFormat="1">
      <c r="A102" s="19">
        <v>3</v>
      </c>
      <c r="B102" s="845" t="str">
        <f t="shared" si="65"/>
        <v>Interoperability</v>
      </c>
      <c r="C102" s="1075">
        <f t="shared" si="66"/>
        <v>1.25</v>
      </c>
      <c r="D102" s="1077">
        <f t="shared" ca="1" si="67"/>
        <v>4</v>
      </c>
      <c r="E102" s="1070">
        <f t="shared" ref="E102:N102" si="71">calcMMScoreInteroperability</f>
        <v>4</v>
      </c>
      <c r="F102" s="1070">
        <f t="shared" si="71"/>
        <v>4</v>
      </c>
      <c r="G102" s="1070">
        <f t="shared" si="71"/>
        <v>4</v>
      </c>
      <c r="H102" s="1070">
        <f t="shared" si="71"/>
        <v>4</v>
      </c>
      <c r="I102" s="1070">
        <f t="shared" si="71"/>
        <v>4</v>
      </c>
      <c r="J102" s="1070">
        <f t="shared" si="71"/>
        <v>4</v>
      </c>
      <c r="K102" s="1070">
        <f t="shared" si="71"/>
        <v>4</v>
      </c>
      <c r="L102" s="1070">
        <f t="shared" si="71"/>
        <v>4</v>
      </c>
      <c r="M102" s="1070">
        <f t="shared" si="71"/>
        <v>4</v>
      </c>
      <c r="N102" s="1070">
        <f t="shared" si="71"/>
        <v>4</v>
      </c>
      <c r="O102" s="865">
        <f t="shared" ca="1" si="69"/>
        <v>5</v>
      </c>
      <c r="P102" s="845" t="s">
        <v>2498</v>
      </c>
      <c r="R102" s="866">
        <v>1</v>
      </c>
      <c r="S102" s="1066">
        <v>1.25</v>
      </c>
      <c r="T102" s="1066">
        <v>1.25</v>
      </c>
      <c r="U102" s="1066">
        <v>1.25</v>
      </c>
    </row>
    <row r="103" spans="1:21" s="19" customFormat="1">
      <c r="A103" s="19">
        <v>4</v>
      </c>
      <c r="B103" s="845" t="str">
        <f t="shared" si="65"/>
        <v>Applications &amp; Infrastructure/Data &amp; AI Offering</v>
      </c>
      <c r="C103" s="1075">
        <f t="shared" si="66"/>
        <v>1.1499999999999999</v>
      </c>
      <c r="D103" s="1077">
        <f t="shared" ca="1" si="67"/>
        <v>4</v>
      </c>
      <c r="E103" s="1070">
        <f t="shared" ref="E103:N103" si="72">calcMMScoreProd2</f>
        <v>4</v>
      </c>
      <c r="F103" s="1070">
        <f t="shared" si="72"/>
        <v>4</v>
      </c>
      <c r="G103" s="1070">
        <f t="shared" si="72"/>
        <v>4</v>
      </c>
      <c r="H103" s="1070">
        <f t="shared" si="72"/>
        <v>4</v>
      </c>
      <c r="I103" s="1070">
        <f t="shared" si="72"/>
        <v>4</v>
      </c>
      <c r="J103" s="1070">
        <f t="shared" si="72"/>
        <v>4</v>
      </c>
      <c r="K103" s="1070">
        <f t="shared" si="72"/>
        <v>4</v>
      </c>
      <c r="L103" s="1070">
        <f t="shared" si="72"/>
        <v>4</v>
      </c>
      <c r="M103" s="1070">
        <f t="shared" si="72"/>
        <v>4</v>
      </c>
      <c r="N103" s="1070">
        <f t="shared" si="72"/>
        <v>4</v>
      </c>
      <c r="O103" s="865">
        <f t="shared" ca="1" si="69"/>
        <v>4.5999999999999996</v>
      </c>
      <c r="P103" s="845" t="s">
        <v>2499</v>
      </c>
      <c r="R103" s="866">
        <v>1</v>
      </c>
      <c r="S103" s="1066">
        <v>1.1499999999999999</v>
      </c>
      <c r="T103" s="1066">
        <v>1.1499999999999999</v>
      </c>
      <c r="U103" s="1066">
        <v>1.1499999999999999</v>
      </c>
    </row>
    <row r="104" spans="1:21" s="19" customFormat="1">
      <c r="A104" s="19">
        <v>5</v>
      </c>
      <c r="B104" s="845" t="str">
        <f t="shared" si="65"/>
        <v>Sales Force Effectiveness</v>
      </c>
      <c r="C104" s="1075">
        <f t="shared" si="66"/>
        <v>1.1499999999999999</v>
      </c>
      <c r="D104" s="1077">
        <f t="shared" ca="1" si="67"/>
        <v>262.39499999999998</v>
      </c>
      <c r="E104" s="1070">
        <f t="shared" ref="E104:N104" ca="1" si="73">calcSeg2DirectSalesforceMMScore</f>
        <v>262.39499999999998</v>
      </c>
      <c r="F104" s="1070">
        <f t="shared" ca="1" si="73"/>
        <v>262.39499999999998</v>
      </c>
      <c r="G104" s="1070">
        <f t="shared" ca="1" si="73"/>
        <v>262.39499999999998</v>
      </c>
      <c r="H104" s="1070">
        <f t="shared" ca="1" si="73"/>
        <v>262.39499999999998</v>
      </c>
      <c r="I104" s="1070">
        <f t="shared" ca="1" si="73"/>
        <v>262.39499999999998</v>
      </c>
      <c r="J104" s="1070">
        <f t="shared" ca="1" si="73"/>
        <v>262.39499999999998</v>
      </c>
      <c r="K104" s="1070">
        <f t="shared" ca="1" si="73"/>
        <v>262.39499999999998</v>
      </c>
      <c r="L104" s="1070">
        <f t="shared" ca="1" si="73"/>
        <v>262.39499999999998</v>
      </c>
      <c r="M104" s="1070">
        <f t="shared" ca="1" si="73"/>
        <v>262.39499999999998</v>
      </c>
      <c r="N104" s="1070">
        <f t="shared" ca="1" si="73"/>
        <v>262.39499999999998</v>
      </c>
      <c r="O104" s="865">
        <f t="shared" ca="1" si="69"/>
        <v>301.75424999999996</v>
      </c>
      <c r="P104" s="845" t="s">
        <v>2500</v>
      </c>
      <c r="R104" s="866">
        <v>1</v>
      </c>
      <c r="S104" s="1066">
        <v>1.1499999999999999</v>
      </c>
      <c r="T104" s="1066">
        <v>1.1499999999999999</v>
      </c>
      <c r="U104" s="1066">
        <v>1.1499999999999999</v>
      </c>
    </row>
    <row r="105" spans="1:21" s="19" customFormat="1">
      <c r="A105" s="19">
        <v>6</v>
      </c>
      <c r="B105" s="845" t="str">
        <f t="shared" si="65"/>
        <v>Partner Relationships</v>
      </c>
      <c r="C105" s="1075">
        <f t="shared" si="66"/>
        <v>0.75</v>
      </c>
      <c r="D105" s="1077">
        <f t="shared" ca="1" si="67"/>
        <v>4.2120000000000006</v>
      </c>
      <c r="E105" s="1070">
        <f>calcProd2Seg2PartnerMMScore</f>
        <v>4.05</v>
      </c>
      <c r="F105" s="1070">
        <f t="shared" ref="F105:N105" si="74">calcProd2Seg1PartnerMMScore</f>
        <v>4.2300000000000004</v>
      </c>
      <c r="G105" s="1070">
        <f t="shared" si="74"/>
        <v>4.2300000000000004</v>
      </c>
      <c r="H105" s="1070">
        <f t="shared" si="74"/>
        <v>4.2300000000000004</v>
      </c>
      <c r="I105" s="1070">
        <f t="shared" si="74"/>
        <v>4.2300000000000004</v>
      </c>
      <c r="J105" s="1070">
        <f t="shared" si="74"/>
        <v>4.2300000000000004</v>
      </c>
      <c r="K105" s="1070">
        <f t="shared" si="74"/>
        <v>4.2300000000000004</v>
      </c>
      <c r="L105" s="1070">
        <f t="shared" si="74"/>
        <v>4.2300000000000004</v>
      </c>
      <c r="M105" s="1070">
        <f t="shared" si="74"/>
        <v>4.2300000000000004</v>
      </c>
      <c r="N105" s="1070">
        <f t="shared" si="74"/>
        <v>4.2300000000000004</v>
      </c>
      <c r="O105" s="865">
        <f t="shared" ca="1" si="69"/>
        <v>3.1590000000000007</v>
      </c>
      <c r="P105" s="845" t="s">
        <v>2507</v>
      </c>
      <c r="R105" s="866">
        <v>1</v>
      </c>
      <c r="S105" s="1066">
        <v>0.75</v>
      </c>
      <c r="T105" s="1066">
        <v>0.75</v>
      </c>
      <c r="U105" s="1066">
        <v>0.75</v>
      </c>
    </row>
    <row r="106" spans="1:21" s="19" customFormat="1">
      <c r="C106" s="937"/>
      <c r="D106" s="1080"/>
      <c r="P106" s="845"/>
    </row>
    <row r="107" spans="1:21" s="19" customFormat="1">
      <c r="C107" s="937"/>
      <c r="D107" s="1080"/>
      <c r="P107" s="845"/>
    </row>
    <row r="108" spans="1:21" s="19" customFormat="1">
      <c r="B108" s="845" t="s">
        <v>772</v>
      </c>
      <c r="C108" s="1075">
        <f>CHOOSE(xxRound+1,R108,S108,T108,U108)</f>
        <v>0.75</v>
      </c>
      <c r="D108" s="1075">
        <f ca="1">AVERAGE(OFFSET($E108:$N108,0,0,1,xxNumOfTeams))</f>
        <v>0.68994382259548626</v>
      </c>
      <c r="E108" s="1083">
        <f t="shared" ref="E108:N108" si="75">cbalProd2Seg1RenRate</f>
        <v>0.68994382259548614</v>
      </c>
      <c r="F108" s="1083">
        <f t="shared" si="75"/>
        <v>0.68994382259548614</v>
      </c>
      <c r="G108" s="1083">
        <f t="shared" si="75"/>
        <v>0.68994382259548614</v>
      </c>
      <c r="H108" s="1083">
        <f t="shared" si="75"/>
        <v>0.68994382259548614</v>
      </c>
      <c r="I108" s="1083">
        <f t="shared" si="75"/>
        <v>0.68994382259548614</v>
      </c>
      <c r="J108" s="1083">
        <f t="shared" si="75"/>
        <v>0.68994382259548614</v>
      </c>
      <c r="K108" s="1083">
        <f t="shared" si="75"/>
        <v>0.68994382259548614</v>
      </c>
      <c r="L108" s="1083">
        <f t="shared" si="75"/>
        <v>0.68994382259548614</v>
      </c>
      <c r="M108" s="1083">
        <f t="shared" si="75"/>
        <v>0.68994382259548614</v>
      </c>
      <c r="N108" s="1083">
        <f t="shared" si="75"/>
        <v>0.68994382259548614</v>
      </c>
      <c r="O108" s="1084">
        <f ca="1">D108*$C108</f>
        <v>0.51745786694661466</v>
      </c>
      <c r="P108" s="845" t="s">
        <v>2478</v>
      </c>
      <c r="R108" s="866">
        <v>1</v>
      </c>
      <c r="S108" s="1066">
        <v>0.75</v>
      </c>
      <c r="T108" s="1066">
        <v>0.75</v>
      </c>
      <c r="U108" s="1066">
        <v>0.75</v>
      </c>
    </row>
    <row r="109" spans="1:21" s="19" customFormat="1">
      <c r="C109" s="937"/>
      <c r="D109" s="1080"/>
      <c r="P109" s="845"/>
      <c r="R109" s="498"/>
      <c r="S109" s="498"/>
      <c r="T109" s="498"/>
      <c r="U109" s="498"/>
    </row>
    <row r="110" spans="1:21" s="867" customFormat="1">
      <c r="A110" s="867" t="str">
        <f>nmProd3Seg1&amp;" Market Model Drivers &amp; Consumption"</f>
        <v>Personal Computing Enterprise Market Model Drivers &amp; Consumption</v>
      </c>
      <c r="C110" s="1073"/>
      <c r="D110" s="1079"/>
      <c r="P110" s="868"/>
      <c r="R110" s="869" t="s">
        <v>765</v>
      </c>
      <c r="S110" s="869" t="s">
        <v>764</v>
      </c>
      <c r="T110" s="869" t="s">
        <v>763</v>
      </c>
      <c r="U110" s="869" t="s">
        <v>762</v>
      </c>
    </row>
    <row r="111" spans="1:21" s="19" customFormat="1">
      <c r="C111" s="937"/>
      <c r="D111" s="1080"/>
      <c r="P111" s="845"/>
    </row>
    <row r="112" spans="1:21" s="861" customFormat="1" ht="41.4" customHeight="1">
      <c r="B112" s="861" t="s">
        <v>2436</v>
      </c>
      <c r="C112" s="936" t="s">
        <v>2435</v>
      </c>
      <c r="D112" s="1081" t="s">
        <v>2898</v>
      </c>
      <c r="E112" s="861" t="str">
        <f t="shared" ref="E112:N112" si="76">decTeamName</f>
        <v>Nimbolt</v>
      </c>
      <c r="F112" s="861" t="str">
        <f t="shared" si="76"/>
        <v>Nimbolt</v>
      </c>
      <c r="G112" s="861" t="str">
        <f t="shared" si="76"/>
        <v>Nimbolt</v>
      </c>
      <c r="H112" s="861" t="str">
        <f t="shared" si="76"/>
        <v>Nimbolt</v>
      </c>
      <c r="I112" s="861" t="str">
        <f t="shared" si="76"/>
        <v>Nimbolt</v>
      </c>
      <c r="J112" s="861" t="str">
        <f t="shared" si="76"/>
        <v>Nimbolt</v>
      </c>
      <c r="K112" s="861" t="str">
        <f t="shared" si="76"/>
        <v>Nimbolt</v>
      </c>
      <c r="L112" s="861" t="str">
        <f t="shared" si="76"/>
        <v>Nimbolt</v>
      </c>
      <c r="M112" s="861" t="str">
        <f t="shared" si="76"/>
        <v>Nimbolt</v>
      </c>
      <c r="N112" s="861" t="str">
        <f t="shared" si="76"/>
        <v>Nimbolt</v>
      </c>
      <c r="O112" s="863" t="s">
        <v>749</v>
      </c>
      <c r="P112" s="864"/>
      <c r="R112" s="862" t="s">
        <v>2435</v>
      </c>
      <c r="S112" s="862" t="s">
        <v>2435</v>
      </c>
      <c r="T112" s="862" t="s">
        <v>2435</v>
      </c>
      <c r="U112" s="862" t="s">
        <v>2435</v>
      </c>
    </row>
    <row r="113" spans="1:21" s="19" customFormat="1">
      <c r="A113" s="19">
        <v>1</v>
      </c>
      <c r="B113" s="845" t="str">
        <f t="shared" ref="B113:B118" si="77">VLOOKUP($A113,tblMMProd3Drivers,2,FALSE)</f>
        <v>Price</v>
      </c>
      <c r="C113" s="1075">
        <f t="shared" ref="C113:C118" si="78">CHOOSE(xxRound+1,R113,S113,T113,U113)</f>
        <v>0.9</v>
      </c>
      <c r="D113" s="1077">
        <f t="shared" ref="D113:D118" ca="1" si="79">AVERAGE(OFFSET($E113:$N113,0,0,1,xxNumOfTeams))</f>
        <v>320</v>
      </c>
      <c r="E113" s="1069">
        <f t="shared" ref="E113:N113" si="80">calcProd3Seg1Price</f>
        <v>320</v>
      </c>
      <c r="F113" s="1069">
        <f t="shared" si="80"/>
        <v>320</v>
      </c>
      <c r="G113" s="1069">
        <f t="shared" si="80"/>
        <v>320</v>
      </c>
      <c r="H113" s="1069">
        <f t="shared" si="80"/>
        <v>320</v>
      </c>
      <c r="I113" s="1069">
        <f t="shared" si="80"/>
        <v>320</v>
      </c>
      <c r="J113" s="1069">
        <f t="shared" si="80"/>
        <v>320</v>
      </c>
      <c r="K113" s="1069">
        <f t="shared" si="80"/>
        <v>320</v>
      </c>
      <c r="L113" s="1069">
        <f t="shared" si="80"/>
        <v>320</v>
      </c>
      <c r="M113" s="1069">
        <f t="shared" si="80"/>
        <v>320</v>
      </c>
      <c r="N113" s="1069">
        <f t="shared" si="80"/>
        <v>320</v>
      </c>
      <c r="O113" s="865">
        <f t="shared" ref="O113:O118" ca="1" si="81">D113*$C113</f>
        <v>288</v>
      </c>
      <c r="P113" s="845" t="s">
        <v>2479</v>
      </c>
      <c r="R113" s="866">
        <v>1</v>
      </c>
      <c r="S113" s="1066">
        <v>0.9</v>
      </c>
      <c r="T113" s="1066">
        <v>0.9</v>
      </c>
      <c r="U113" s="1066">
        <v>0.9</v>
      </c>
    </row>
    <row r="114" spans="1:21" s="19" customFormat="1">
      <c r="A114" s="19">
        <v>2</v>
      </c>
      <c r="B114" s="845" t="str">
        <f t="shared" si="77"/>
        <v>Security</v>
      </c>
      <c r="C114" s="1075">
        <f t="shared" si="78"/>
        <v>0.75</v>
      </c>
      <c r="D114" s="1077">
        <f t="shared" ca="1" si="79"/>
        <v>7</v>
      </c>
      <c r="E114" s="1070">
        <f t="shared" ref="E114:N114" si="82">calcMMScoreSecurity</f>
        <v>7</v>
      </c>
      <c r="F114" s="1070">
        <f t="shared" si="82"/>
        <v>7</v>
      </c>
      <c r="G114" s="1070">
        <f t="shared" si="82"/>
        <v>7</v>
      </c>
      <c r="H114" s="1070">
        <f t="shared" si="82"/>
        <v>7</v>
      </c>
      <c r="I114" s="1070">
        <f t="shared" si="82"/>
        <v>7</v>
      </c>
      <c r="J114" s="1070">
        <f t="shared" si="82"/>
        <v>7</v>
      </c>
      <c r="K114" s="1070">
        <f t="shared" si="82"/>
        <v>7</v>
      </c>
      <c r="L114" s="1070">
        <f t="shared" si="82"/>
        <v>7</v>
      </c>
      <c r="M114" s="1070">
        <f t="shared" si="82"/>
        <v>7</v>
      </c>
      <c r="N114" s="1070">
        <f t="shared" si="82"/>
        <v>7</v>
      </c>
      <c r="O114" s="865">
        <f t="shared" ca="1" si="81"/>
        <v>5.25</v>
      </c>
      <c r="P114" s="845" t="s">
        <v>2480</v>
      </c>
      <c r="R114" s="866">
        <v>1</v>
      </c>
      <c r="S114" s="1066">
        <v>0.75</v>
      </c>
      <c r="T114" s="1066">
        <v>0.75</v>
      </c>
      <c r="U114" s="1066">
        <v>0.75</v>
      </c>
    </row>
    <row r="115" spans="1:21" s="19" customFormat="1">
      <c r="A115" s="19">
        <v>3</v>
      </c>
      <c r="B115" s="845" t="str">
        <f t="shared" si="77"/>
        <v>Interoperability</v>
      </c>
      <c r="C115" s="1075">
        <f t="shared" si="78"/>
        <v>1.25</v>
      </c>
      <c r="D115" s="1077">
        <f t="shared" ca="1" si="79"/>
        <v>4</v>
      </c>
      <c r="E115" s="1070">
        <f t="shared" ref="E115:N115" si="83">calcMMScoreInteroperability</f>
        <v>4</v>
      </c>
      <c r="F115" s="1070">
        <f t="shared" si="83"/>
        <v>4</v>
      </c>
      <c r="G115" s="1070">
        <f t="shared" si="83"/>
        <v>4</v>
      </c>
      <c r="H115" s="1070">
        <f t="shared" si="83"/>
        <v>4</v>
      </c>
      <c r="I115" s="1070">
        <f t="shared" si="83"/>
        <v>4</v>
      </c>
      <c r="J115" s="1070">
        <f t="shared" si="83"/>
        <v>4</v>
      </c>
      <c r="K115" s="1070">
        <f t="shared" si="83"/>
        <v>4</v>
      </c>
      <c r="L115" s="1070">
        <f t="shared" si="83"/>
        <v>4</v>
      </c>
      <c r="M115" s="1070">
        <f t="shared" si="83"/>
        <v>4</v>
      </c>
      <c r="N115" s="1070">
        <f t="shared" si="83"/>
        <v>4</v>
      </c>
      <c r="O115" s="865">
        <f t="shared" ca="1" si="81"/>
        <v>5</v>
      </c>
      <c r="P115" s="845" t="s">
        <v>2481</v>
      </c>
      <c r="R115" s="866">
        <v>1</v>
      </c>
      <c r="S115" s="1066">
        <v>1.25</v>
      </c>
      <c r="T115" s="1066">
        <v>1.25</v>
      </c>
      <c r="U115" s="1066">
        <v>1.25</v>
      </c>
    </row>
    <row r="116" spans="1:21" s="19" customFormat="1">
      <c r="A116" s="19">
        <v>4</v>
      </c>
      <c r="B116" s="845" t="str">
        <f t="shared" si="77"/>
        <v>Modern Workplace Offering</v>
      </c>
      <c r="C116" s="1075">
        <f t="shared" si="78"/>
        <v>0.75</v>
      </c>
      <c r="D116" s="1077">
        <f t="shared" ca="1" si="79"/>
        <v>13</v>
      </c>
      <c r="E116" s="1070">
        <f t="shared" ref="E116:N116" si="84">calcMMScoreProd3</f>
        <v>13</v>
      </c>
      <c r="F116" s="1070">
        <f t="shared" si="84"/>
        <v>13</v>
      </c>
      <c r="G116" s="1070">
        <f t="shared" si="84"/>
        <v>13</v>
      </c>
      <c r="H116" s="1070">
        <f t="shared" si="84"/>
        <v>13</v>
      </c>
      <c r="I116" s="1070">
        <f t="shared" si="84"/>
        <v>13</v>
      </c>
      <c r="J116" s="1070">
        <f t="shared" si="84"/>
        <v>13</v>
      </c>
      <c r="K116" s="1070">
        <f t="shared" si="84"/>
        <v>13</v>
      </c>
      <c r="L116" s="1070">
        <f t="shared" si="84"/>
        <v>13</v>
      </c>
      <c r="M116" s="1070">
        <f t="shared" si="84"/>
        <v>13</v>
      </c>
      <c r="N116" s="1070">
        <f t="shared" si="84"/>
        <v>13</v>
      </c>
      <c r="O116" s="865">
        <f t="shared" ca="1" si="81"/>
        <v>9.75</v>
      </c>
      <c r="P116" s="845" t="s">
        <v>2482</v>
      </c>
      <c r="R116" s="866">
        <v>1</v>
      </c>
      <c r="S116" s="1066">
        <v>0.75</v>
      </c>
      <c r="T116" s="1066">
        <v>1.75</v>
      </c>
      <c r="U116" s="1066">
        <v>1.75</v>
      </c>
    </row>
    <row r="117" spans="1:21" s="19" customFormat="1">
      <c r="A117" s="19">
        <v>5</v>
      </c>
      <c r="B117" s="845" t="str">
        <f t="shared" si="77"/>
        <v>Sales Force Effectiveness</v>
      </c>
      <c r="C117" s="1075">
        <f t="shared" si="78"/>
        <v>1.1499999999999999</v>
      </c>
      <c r="D117" s="1077">
        <f t="shared" ca="1" si="79"/>
        <v>267.75</v>
      </c>
      <c r="E117" s="1070">
        <f t="shared" ref="E117:N117" si="85">calcSeg1DirectSalesforceMMScore</f>
        <v>267.75</v>
      </c>
      <c r="F117" s="1070">
        <f t="shared" si="85"/>
        <v>267.75</v>
      </c>
      <c r="G117" s="1070">
        <f t="shared" si="85"/>
        <v>267.75</v>
      </c>
      <c r="H117" s="1070">
        <f t="shared" si="85"/>
        <v>267.75</v>
      </c>
      <c r="I117" s="1070">
        <f t="shared" si="85"/>
        <v>267.75</v>
      </c>
      <c r="J117" s="1070">
        <f t="shared" si="85"/>
        <v>267.75</v>
      </c>
      <c r="K117" s="1070">
        <f t="shared" si="85"/>
        <v>267.75</v>
      </c>
      <c r="L117" s="1070">
        <f t="shared" si="85"/>
        <v>267.75</v>
      </c>
      <c r="M117" s="1070">
        <f t="shared" si="85"/>
        <v>267.75</v>
      </c>
      <c r="N117" s="1070">
        <f t="shared" si="85"/>
        <v>267.75</v>
      </c>
      <c r="O117" s="865">
        <f t="shared" ca="1" si="81"/>
        <v>307.91249999999997</v>
      </c>
      <c r="P117" s="845" t="s">
        <v>2483</v>
      </c>
      <c r="R117" s="866">
        <v>1</v>
      </c>
      <c r="S117" s="1066">
        <v>1.1499999999999999</v>
      </c>
      <c r="T117" s="1066">
        <v>1.1499999999999999</v>
      </c>
      <c r="U117" s="1066">
        <v>1.1499999999999999</v>
      </c>
    </row>
    <row r="118" spans="1:21" s="19" customFormat="1">
      <c r="A118" s="19">
        <v>6</v>
      </c>
      <c r="B118" s="845" t="str">
        <f t="shared" si="77"/>
        <v>Partner Relationships</v>
      </c>
      <c r="C118" s="1075">
        <f t="shared" si="78"/>
        <v>0.75</v>
      </c>
      <c r="D118" s="1077">
        <f t="shared" ca="1" si="79"/>
        <v>4.7700000000000014</v>
      </c>
      <c r="E118" s="1070">
        <f t="shared" ref="E118:N118" si="86">calcProd3Seg1PartnerMMScore</f>
        <v>4.7700000000000005</v>
      </c>
      <c r="F118" s="1070">
        <f t="shared" si="86"/>
        <v>4.7700000000000005</v>
      </c>
      <c r="G118" s="1070">
        <f t="shared" si="86"/>
        <v>4.7700000000000005</v>
      </c>
      <c r="H118" s="1070">
        <f t="shared" si="86"/>
        <v>4.7700000000000005</v>
      </c>
      <c r="I118" s="1070">
        <f t="shared" si="86"/>
        <v>4.7700000000000005</v>
      </c>
      <c r="J118" s="1070">
        <f t="shared" si="86"/>
        <v>4.7700000000000005</v>
      </c>
      <c r="K118" s="1070">
        <f t="shared" si="86"/>
        <v>4.7700000000000005</v>
      </c>
      <c r="L118" s="1070">
        <f t="shared" si="86"/>
        <v>4.7700000000000005</v>
      </c>
      <c r="M118" s="1070">
        <f t="shared" si="86"/>
        <v>4.7700000000000005</v>
      </c>
      <c r="N118" s="1070">
        <f t="shared" si="86"/>
        <v>4.7700000000000005</v>
      </c>
      <c r="O118" s="865">
        <f t="shared" ca="1" si="81"/>
        <v>3.577500000000001</v>
      </c>
      <c r="P118" s="845" t="s">
        <v>2484</v>
      </c>
      <c r="R118" s="866">
        <v>1</v>
      </c>
      <c r="S118" s="1066">
        <v>0.75</v>
      </c>
      <c r="T118" s="1066">
        <v>0.75</v>
      </c>
      <c r="U118" s="1066">
        <v>0.75</v>
      </c>
    </row>
    <row r="119" spans="1:21" s="19" customFormat="1">
      <c r="C119" s="937"/>
      <c r="D119" s="1080"/>
      <c r="P119" s="845"/>
      <c r="R119" s="498"/>
      <c r="S119" s="498"/>
      <c r="T119" s="498"/>
      <c r="U119" s="498"/>
    </row>
    <row r="120" spans="1:21" s="867" customFormat="1">
      <c r="A120" s="867" t="str">
        <f>nmProd3Seg2&amp;" Market Model Drivers &amp; Consumption"</f>
        <v>Personal Computing SMC Market Model Drivers &amp; Consumption</v>
      </c>
      <c r="C120" s="1073"/>
      <c r="D120" s="1079"/>
      <c r="P120" s="868"/>
      <c r="R120" s="869" t="s">
        <v>765</v>
      </c>
      <c r="S120" s="869" t="s">
        <v>764</v>
      </c>
      <c r="T120" s="869" t="s">
        <v>763</v>
      </c>
      <c r="U120" s="869" t="s">
        <v>762</v>
      </c>
    </row>
    <row r="121" spans="1:21" s="19" customFormat="1">
      <c r="C121" s="937"/>
      <c r="D121" s="1080"/>
      <c r="P121" s="845"/>
    </row>
    <row r="122" spans="1:21" s="861" customFormat="1" ht="41.4" customHeight="1">
      <c r="B122" s="861" t="s">
        <v>2436</v>
      </c>
      <c r="C122" s="936" t="s">
        <v>2435</v>
      </c>
      <c r="D122" s="1081" t="s">
        <v>2898</v>
      </c>
      <c r="E122" s="861" t="str">
        <f t="shared" ref="E122:N122" si="87">decTeamName</f>
        <v>Nimbolt</v>
      </c>
      <c r="F122" s="861" t="str">
        <f t="shared" si="87"/>
        <v>Nimbolt</v>
      </c>
      <c r="G122" s="861" t="str">
        <f t="shared" si="87"/>
        <v>Nimbolt</v>
      </c>
      <c r="H122" s="861" t="str">
        <f t="shared" si="87"/>
        <v>Nimbolt</v>
      </c>
      <c r="I122" s="861" t="str">
        <f t="shared" si="87"/>
        <v>Nimbolt</v>
      </c>
      <c r="J122" s="861" t="str">
        <f t="shared" si="87"/>
        <v>Nimbolt</v>
      </c>
      <c r="K122" s="861" t="str">
        <f t="shared" si="87"/>
        <v>Nimbolt</v>
      </c>
      <c r="L122" s="861" t="str">
        <f t="shared" si="87"/>
        <v>Nimbolt</v>
      </c>
      <c r="M122" s="861" t="str">
        <f t="shared" si="87"/>
        <v>Nimbolt</v>
      </c>
      <c r="N122" s="861" t="str">
        <f t="shared" si="87"/>
        <v>Nimbolt</v>
      </c>
      <c r="O122" s="863" t="s">
        <v>749</v>
      </c>
      <c r="P122" s="864"/>
      <c r="R122" s="862" t="s">
        <v>2435</v>
      </c>
      <c r="S122" s="862" t="s">
        <v>2435</v>
      </c>
      <c r="T122" s="862" t="s">
        <v>2435</v>
      </c>
      <c r="U122" s="862" t="s">
        <v>2435</v>
      </c>
    </row>
    <row r="123" spans="1:21" s="19" customFormat="1">
      <c r="A123" s="19">
        <v>1</v>
      </c>
      <c r="B123" s="845" t="str">
        <f t="shared" ref="B123:B128" si="88">VLOOKUP($A123,tblMMProd3Drivers,2,FALSE)</f>
        <v>Price</v>
      </c>
      <c r="C123" s="1075">
        <f t="shared" ref="C123:C128" si="89">CHOOSE(xxRound+1,R123,S123,T123,U123)</f>
        <v>0.9</v>
      </c>
      <c r="D123" s="1077">
        <f t="shared" ref="D123:D128" ca="1" si="90">AVERAGE(OFFSET($E123:$N123,0,0,1,xxNumOfTeams))</f>
        <v>320</v>
      </c>
      <c r="E123" s="1069">
        <f t="shared" ref="E123:N123" si="91">calcProd3Seg2Price</f>
        <v>320</v>
      </c>
      <c r="F123" s="1069">
        <f t="shared" si="91"/>
        <v>320</v>
      </c>
      <c r="G123" s="1069">
        <f t="shared" si="91"/>
        <v>320</v>
      </c>
      <c r="H123" s="1069">
        <f t="shared" si="91"/>
        <v>320</v>
      </c>
      <c r="I123" s="1069">
        <f t="shared" si="91"/>
        <v>320</v>
      </c>
      <c r="J123" s="1069">
        <f t="shared" si="91"/>
        <v>320</v>
      </c>
      <c r="K123" s="1069">
        <f t="shared" si="91"/>
        <v>320</v>
      </c>
      <c r="L123" s="1069">
        <f t="shared" si="91"/>
        <v>320</v>
      </c>
      <c r="M123" s="1069">
        <f t="shared" si="91"/>
        <v>320</v>
      </c>
      <c r="N123" s="1069">
        <f t="shared" si="91"/>
        <v>320</v>
      </c>
      <c r="O123" s="865">
        <f t="shared" ref="O123:O128" ca="1" si="92">D123*$C123</f>
        <v>288</v>
      </c>
      <c r="P123" s="845" t="s">
        <v>2485</v>
      </c>
      <c r="R123" s="866">
        <v>1</v>
      </c>
      <c r="S123" s="1066">
        <v>0.9</v>
      </c>
      <c r="T123" s="1066">
        <v>0.9</v>
      </c>
      <c r="U123" s="1066">
        <v>0.9</v>
      </c>
    </row>
    <row r="124" spans="1:21" s="19" customFormat="1">
      <c r="A124" s="19">
        <v>2</v>
      </c>
      <c r="B124" s="845" t="str">
        <f t="shared" si="88"/>
        <v>Security</v>
      </c>
      <c r="C124" s="1075">
        <f t="shared" si="89"/>
        <v>0.75</v>
      </c>
      <c r="D124" s="1077">
        <f t="shared" ca="1" si="90"/>
        <v>7</v>
      </c>
      <c r="E124" s="1070">
        <f t="shared" ref="E124:N124" si="93">calcMMScoreSecurity</f>
        <v>7</v>
      </c>
      <c r="F124" s="1070">
        <f t="shared" si="93"/>
        <v>7</v>
      </c>
      <c r="G124" s="1070">
        <f t="shared" si="93"/>
        <v>7</v>
      </c>
      <c r="H124" s="1070">
        <f t="shared" si="93"/>
        <v>7</v>
      </c>
      <c r="I124" s="1070">
        <f t="shared" si="93"/>
        <v>7</v>
      </c>
      <c r="J124" s="1070">
        <f t="shared" si="93"/>
        <v>7</v>
      </c>
      <c r="K124" s="1070">
        <f t="shared" si="93"/>
        <v>7</v>
      </c>
      <c r="L124" s="1070">
        <f t="shared" si="93"/>
        <v>7</v>
      </c>
      <c r="M124" s="1070">
        <f t="shared" si="93"/>
        <v>7</v>
      </c>
      <c r="N124" s="1070">
        <f t="shared" si="93"/>
        <v>7</v>
      </c>
      <c r="O124" s="865">
        <f t="shared" ca="1" si="92"/>
        <v>5.25</v>
      </c>
      <c r="P124" s="845" t="s">
        <v>2486</v>
      </c>
      <c r="R124" s="866">
        <v>1</v>
      </c>
      <c r="S124" s="1066">
        <v>0.75</v>
      </c>
      <c r="T124" s="1066">
        <v>0.75</v>
      </c>
      <c r="U124" s="1066">
        <v>0.75</v>
      </c>
    </row>
    <row r="125" spans="1:21" s="19" customFormat="1">
      <c r="A125" s="19">
        <v>3</v>
      </c>
      <c r="B125" s="845" t="str">
        <f t="shared" si="88"/>
        <v>Interoperability</v>
      </c>
      <c r="C125" s="1075">
        <f t="shared" si="89"/>
        <v>1.25</v>
      </c>
      <c r="D125" s="1077">
        <f t="shared" ca="1" si="90"/>
        <v>4</v>
      </c>
      <c r="E125" s="1070">
        <f t="shared" ref="E125:N125" si="94">calcMMScoreInteroperability</f>
        <v>4</v>
      </c>
      <c r="F125" s="1070">
        <f t="shared" si="94"/>
        <v>4</v>
      </c>
      <c r="G125" s="1070">
        <f t="shared" si="94"/>
        <v>4</v>
      </c>
      <c r="H125" s="1070">
        <f t="shared" si="94"/>
        <v>4</v>
      </c>
      <c r="I125" s="1070">
        <f t="shared" si="94"/>
        <v>4</v>
      </c>
      <c r="J125" s="1070">
        <f t="shared" si="94"/>
        <v>4</v>
      </c>
      <c r="K125" s="1070">
        <f t="shared" si="94"/>
        <v>4</v>
      </c>
      <c r="L125" s="1070">
        <f t="shared" si="94"/>
        <v>4</v>
      </c>
      <c r="M125" s="1070">
        <f t="shared" si="94"/>
        <v>4</v>
      </c>
      <c r="N125" s="1070">
        <f t="shared" si="94"/>
        <v>4</v>
      </c>
      <c r="O125" s="865">
        <f t="shared" ca="1" si="92"/>
        <v>5</v>
      </c>
      <c r="P125" s="845" t="s">
        <v>2487</v>
      </c>
      <c r="R125" s="866">
        <v>1</v>
      </c>
      <c r="S125" s="1066">
        <v>1.25</v>
      </c>
      <c r="T125" s="1066">
        <v>1.25</v>
      </c>
      <c r="U125" s="1066">
        <v>1.25</v>
      </c>
    </row>
    <row r="126" spans="1:21" s="19" customFormat="1">
      <c r="A126" s="19">
        <v>4</v>
      </c>
      <c r="B126" s="845" t="str">
        <f t="shared" si="88"/>
        <v>Modern Workplace Offering</v>
      </c>
      <c r="C126" s="1075">
        <f t="shared" si="89"/>
        <v>0.75</v>
      </c>
      <c r="D126" s="1077">
        <f t="shared" ca="1" si="90"/>
        <v>13</v>
      </c>
      <c r="E126" s="1070">
        <f t="shared" ref="E126:N126" si="95">calcMMScoreProd3</f>
        <v>13</v>
      </c>
      <c r="F126" s="1070">
        <f t="shared" si="95"/>
        <v>13</v>
      </c>
      <c r="G126" s="1070">
        <f t="shared" si="95"/>
        <v>13</v>
      </c>
      <c r="H126" s="1070">
        <f t="shared" si="95"/>
        <v>13</v>
      </c>
      <c r="I126" s="1070">
        <f t="shared" si="95"/>
        <v>13</v>
      </c>
      <c r="J126" s="1070">
        <f t="shared" si="95"/>
        <v>13</v>
      </c>
      <c r="K126" s="1070">
        <f t="shared" si="95"/>
        <v>13</v>
      </c>
      <c r="L126" s="1070">
        <f t="shared" si="95"/>
        <v>13</v>
      </c>
      <c r="M126" s="1070">
        <f t="shared" si="95"/>
        <v>13</v>
      </c>
      <c r="N126" s="1070">
        <f t="shared" si="95"/>
        <v>13</v>
      </c>
      <c r="O126" s="865">
        <f t="shared" ca="1" si="92"/>
        <v>9.75</v>
      </c>
      <c r="P126" s="845" t="s">
        <v>2488</v>
      </c>
      <c r="R126" s="866">
        <v>1</v>
      </c>
      <c r="S126" s="1066">
        <v>0.75</v>
      </c>
      <c r="T126" s="1066">
        <v>1.75</v>
      </c>
      <c r="U126" s="1066">
        <v>1.75</v>
      </c>
    </row>
    <row r="127" spans="1:21" s="19" customFormat="1">
      <c r="A127" s="19">
        <v>5</v>
      </c>
      <c r="B127" s="845" t="str">
        <f t="shared" si="88"/>
        <v>Sales Force Effectiveness</v>
      </c>
      <c r="C127" s="1075">
        <f t="shared" si="89"/>
        <v>1.1499999999999999</v>
      </c>
      <c r="D127" s="1077">
        <f t="shared" ca="1" si="90"/>
        <v>262.39499999999998</v>
      </c>
      <c r="E127" s="1070">
        <f t="shared" ref="E127:N127" ca="1" si="96">calcSeg2DirectSalesforceMMScore</f>
        <v>262.39499999999998</v>
      </c>
      <c r="F127" s="1070">
        <f t="shared" ca="1" si="96"/>
        <v>262.39499999999998</v>
      </c>
      <c r="G127" s="1070">
        <f t="shared" ca="1" si="96"/>
        <v>262.39499999999998</v>
      </c>
      <c r="H127" s="1070">
        <f t="shared" ca="1" si="96"/>
        <v>262.39499999999998</v>
      </c>
      <c r="I127" s="1070">
        <f t="shared" ca="1" si="96"/>
        <v>262.39499999999998</v>
      </c>
      <c r="J127" s="1070">
        <f t="shared" ca="1" si="96"/>
        <v>262.39499999999998</v>
      </c>
      <c r="K127" s="1070">
        <f t="shared" ca="1" si="96"/>
        <v>262.39499999999998</v>
      </c>
      <c r="L127" s="1070">
        <f t="shared" ca="1" si="96"/>
        <v>262.39499999999998</v>
      </c>
      <c r="M127" s="1070">
        <f t="shared" ca="1" si="96"/>
        <v>262.39499999999998</v>
      </c>
      <c r="N127" s="1070">
        <f t="shared" ca="1" si="96"/>
        <v>262.39499999999998</v>
      </c>
      <c r="O127" s="865">
        <f t="shared" ca="1" si="92"/>
        <v>301.75424999999996</v>
      </c>
      <c r="P127" s="845" t="s">
        <v>2489</v>
      </c>
      <c r="R127" s="866">
        <v>1</v>
      </c>
      <c r="S127" s="1066">
        <v>1.1499999999999999</v>
      </c>
      <c r="T127" s="1066">
        <v>1.1499999999999999</v>
      </c>
      <c r="U127" s="1066">
        <v>1.1499999999999999</v>
      </c>
    </row>
    <row r="128" spans="1:21" s="19" customFormat="1">
      <c r="A128" s="19">
        <v>6</v>
      </c>
      <c r="B128" s="845" t="str">
        <f t="shared" si="88"/>
        <v>Partner Relationships</v>
      </c>
      <c r="C128" s="1075">
        <f t="shared" si="89"/>
        <v>0.75</v>
      </c>
      <c r="D128" s="1077">
        <f t="shared" ca="1" si="90"/>
        <v>4.7700000000000014</v>
      </c>
      <c r="E128" s="1070">
        <f t="shared" ref="E128:N128" si="97">calcProd3Seg2PartnerMMScore</f>
        <v>4.7700000000000005</v>
      </c>
      <c r="F128" s="1070">
        <f t="shared" si="97"/>
        <v>4.7700000000000005</v>
      </c>
      <c r="G128" s="1070">
        <f t="shared" si="97"/>
        <v>4.7700000000000005</v>
      </c>
      <c r="H128" s="1070">
        <f t="shared" si="97"/>
        <v>4.7700000000000005</v>
      </c>
      <c r="I128" s="1070">
        <f t="shared" si="97"/>
        <v>4.7700000000000005</v>
      </c>
      <c r="J128" s="1070">
        <f t="shared" si="97"/>
        <v>4.7700000000000005</v>
      </c>
      <c r="K128" s="1070">
        <f t="shared" si="97"/>
        <v>4.7700000000000005</v>
      </c>
      <c r="L128" s="1070">
        <f t="shared" si="97"/>
        <v>4.7700000000000005</v>
      </c>
      <c r="M128" s="1070">
        <f t="shared" si="97"/>
        <v>4.7700000000000005</v>
      </c>
      <c r="N128" s="1070">
        <f t="shared" si="97"/>
        <v>4.7700000000000005</v>
      </c>
      <c r="O128" s="865">
        <f t="shared" ca="1" si="92"/>
        <v>3.577500000000001</v>
      </c>
      <c r="P128" s="845" t="s">
        <v>2490</v>
      </c>
      <c r="R128" s="866">
        <v>1</v>
      </c>
      <c r="S128" s="1066">
        <v>0.75</v>
      </c>
      <c r="T128" s="1066">
        <v>0.75</v>
      </c>
      <c r="U128" s="1066">
        <v>0.75</v>
      </c>
    </row>
    <row r="129" spans="1:21" s="19" customFormat="1">
      <c r="C129" s="937"/>
      <c r="D129" s="1080"/>
      <c r="P129" s="845"/>
    </row>
    <row r="130" spans="1:21" s="867" customFormat="1">
      <c r="A130" s="867" t="str">
        <f>nmProd3Seg3&amp;" Market Model Drivers &amp; Consumption"</f>
        <v>Personal Computing Consumer Market Model Drivers &amp; Consumption</v>
      </c>
      <c r="C130" s="1073"/>
      <c r="D130" s="1079"/>
      <c r="P130" s="868"/>
      <c r="R130" s="869" t="s">
        <v>765</v>
      </c>
      <c r="S130" s="869" t="s">
        <v>764</v>
      </c>
      <c r="T130" s="869" t="s">
        <v>763</v>
      </c>
      <c r="U130" s="869" t="s">
        <v>762</v>
      </c>
    </row>
    <row r="131" spans="1:21" s="19" customFormat="1">
      <c r="C131" s="937"/>
      <c r="D131" s="1080"/>
      <c r="P131" s="845"/>
    </row>
    <row r="132" spans="1:21" s="861" customFormat="1" ht="41.4" customHeight="1">
      <c r="B132" s="861" t="s">
        <v>2436</v>
      </c>
      <c r="C132" s="936" t="s">
        <v>2435</v>
      </c>
      <c r="D132" s="1081" t="s">
        <v>2898</v>
      </c>
      <c r="E132" s="861" t="str">
        <f t="shared" ref="E132:N132" si="98">decTeamName</f>
        <v>Nimbolt</v>
      </c>
      <c r="F132" s="861" t="str">
        <f t="shared" si="98"/>
        <v>Nimbolt</v>
      </c>
      <c r="G132" s="861" t="str">
        <f t="shared" si="98"/>
        <v>Nimbolt</v>
      </c>
      <c r="H132" s="861" t="str">
        <f t="shared" si="98"/>
        <v>Nimbolt</v>
      </c>
      <c r="I132" s="861" t="str">
        <f t="shared" si="98"/>
        <v>Nimbolt</v>
      </c>
      <c r="J132" s="861" t="str">
        <f t="shared" si="98"/>
        <v>Nimbolt</v>
      </c>
      <c r="K132" s="861" t="str">
        <f t="shared" si="98"/>
        <v>Nimbolt</v>
      </c>
      <c r="L132" s="861" t="str">
        <f t="shared" si="98"/>
        <v>Nimbolt</v>
      </c>
      <c r="M132" s="861" t="str">
        <f t="shared" si="98"/>
        <v>Nimbolt</v>
      </c>
      <c r="N132" s="861" t="str">
        <f t="shared" si="98"/>
        <v>Nimbolt</v>
      </c>
      <c r="O132" s="863" t="s">
        <v>749</v>
      </c>
      <c r="P132" s="864"/>
      <c r="R132" s="862" t="s">
        <v>2435</v>
      </c>
      <c r="S132" s="862" t="s">
        <v>2435</v>
      </c>
      <c r="T132" s="862" t="s">
        <v>2435</v>
      </c>
      <c r="U132" s="862" t="s">
        <v>2435</v>
      </c>
    </row>
    <row r="133" spans="1:21" s="19" customFormat="1">
      <c r="A133" s="19">
        <v>1</v>
      </c>
      <c r="B133" s="845" t="str">
        <f t="shared" ref="B133:B138" si="99">VLOOKUP($A133,tblMMProd3Drivers,2,FALSE)</f>
        <v>Price</v>
      </c>
      <c r="C133" s="1075">
        <f t="shared" ref="C133:C138" si="100">CHOOSE(xxRound+1,R133,S133,T133,U133)</f>
        <v>0.9</v>
      </c>
      <c r="D133" s="1077">
        <f t="shared" ref="D133:D138" ca="1" si="101">AVERAGE(OFFSET($E133:$N133,0,0,1,xxNumOfTeams))</f>
        <v>320</v>
      </c>
      <c r="E133" s="1069">
        <f t="shared" ref="E133:N133" si="102">calcProd3Seg3Price</f>
        <v>320</v>
      </c>
      <c r="F133" s="1069">
        <f t="shared" si="102"/>
        <v>320</v>
      </c>
      <c r="G133" s="1069">
        <f t="shared" si="102"/>
        <v>320</v>
      </c>
      <c r="H133" s="1069">
        <f t="shared" si="102"/>
        <v>320</v>
      </c>
      <c r="I133" s="1069">
        <f t="shared" si="102"/>
        <v>320</v>
      </c>
      <c r="J133" s="1069">
        <f t="shared" si="102"/>
        <v>320</v>
      </c>
      <c r="K133" s="1069">
        <f t="shared" si="102"/>
        <v>320</v>
      </c>
      <c r="L133" s="1069">
        <f t="shared" si="102"/>
        <v>320</v>
      </c>
      <c r="M133" s="1069">
        <f t="shared" si="102"/>
        <v>320</v>
      </c>
      <c r="N133" s="1069">
        <f t="shared" si="102"/>
        <v>320</v>
      </c>
      <c r="O133" s="865">
        <f t="shared" ref="O133:O138" ca="1" si="103">D133*$C133</f>
        <v>288</v>
      </c>
      <c r="P133" s="845" t="s">
        <v>2501</v>
      </c>
      <c r="R133" s="866">
        <v>1</v>
      </c>
      <c r="S133" s="1066">
        <v>0.9</v>
      </c>
      <c r="T133" s="1066">
        <v>0.9</v>
      </c>
      <c r="U133" s="1066">
        <v>0.9</v>
      </c>
    </row>
    <row r="134" spans="1:21" s="19" customFormat="1">
      <c r="A134" s="19">
        <v>2</v>
      </c>
      <c r="B134" s="845" t="str">
        <f t="shared" si="99"/>
        <v>Security</v>
      </c>
      <c r="C134" s="1075">
        <f t="shared" si="100"/>
        <v>0.75</v>
      </c>
      <c r="D134" s="1077">
        <f t="shared" ca="1" si="101"/>
        <v>7</v>
      </c>
      <c r="E134" s="1070">
        <f t="shared" ref="E134:N134" si="104">calcMMScoreSecurity</f>
        <v>7</v>
      </c>
      <c r="F134" s="1070">
        <f t="shared" si="104"/>
        <v>7</v>
      </c>
      <c r="G134" s="1070">
        <f t="shared" si="104"/>
        <v>7</v>
      </c>
      <c r="H134" s="1070">
        <f t="shared" si="104"/>
        <v>7</v>
      </c>
      <c r="I134" s="1070">
        <f t="shared" si="104"/>
        <v>7</v>
      </c>
      <c r="J134" s="1070">
        <f t="shared" si="104"/>
        <v>7</v>
      </c>
      <c r="K134" s="1070">
        <f t="shared" si="104"/>
        <v>7</v>
      </c>
      <c r="L134" s="1070">
        <f t="shared" si="104"/>
        <v>7</v>
      </c>
      <c r="M134" s="1070">
        <f t="shared" si="104"/>
        <v>7</v>
      </c>
      <c r="N134" s="1070">
        <f t="shared" si="104"/>
        <v>7</v>
      </c>
      <c r="O134" s="865">
        <f t="shared" ca="1" si="103"/>
        <v>5.25</v>
      </c>
      <c r="P134" s="845" t="s">
        <v>2502</v>
      </c>
      <c r="R134" s="866">
        <v>1</v>
      </c>
      <c r="S134" s="1066">
        <v>0.75</v>
      </c>
      <c r="T134" s="1066">
        <v>0.75</v>
      </c>
      <c r="U134" s="1066">
        <v>0.75</v>
      </c>
    </row>
    <row r="135" spans="1:21" s="19" customFormat="1">
      <c r="A135" s="19">
        <v>3</v>
      </c>
      <c r="B135" s="845" t="str">
        <f t="shared" si="99"/>
        <v>Interoperability</v>
      </c>
      <c r="C135" s="1075">
        <f t="shared" si="100"/>
        <v>1.25</v>
      </c>
      <c r="D135" s="1077">
        <f t="shared" ca="1" si="101"/>
        <v>4</v>
      </c>
      <c r="E135" s="1070">
        <f t="shared" ref="E135:N135" si="105">calcMMScoreInteroperability</f>
        <v>4</v>
      </c>
      <c r="F135" s="1070">
        <f t="shared" si="105"/>
        <v>4</v>
      </c>
      <c r="G135" s="1070">
        <f t="shared" si="105"/>
        <v>4</v>
      </c>
      <c r="H135" s="1070">
        <f t="shared" si="105"/>
        <v>4</v>
      </c>
      <c r="I135" s="1070">
        <f t="shared" si="105"/>
        <v>4</v>
      </c>
      <c r="J135" s="1070">
        <f t="shared" si="105"/>
        <v>4</v>
      </c>
      <c r="K135" s="1070">
        <f t="shared" si="105"/>
        <v>4</v>
      </c>
      <c r="L135" s="1070">
        <f t="shared" si="105"/>
        <v>4</v>
      </c>
      <c r="M135" s="1070">
        <f t="shared" si="105"/>
        <v>4</v>
      </c>
      <c r="N135" s="1070">
        <f t="shared" si="105"/>
        <v>4</v>
      </c>
      <c r="O135" s="865">
        <f t="shared" ca="1" si="103"/>
        <v>5</v>
      </c>
      <c r="P135" s="845" t="s">
        <v>2503</v>
      </c>
      <c r="R135" s="866">
        <v>1</v>
      </c>
      <c r="S135" s="1066">
        <v>1.25</v>
      </c>
      <c r="T135" s="1066">
        <v>1.25</v>
      </c>
      <c r="U135" s="1066">
        <v>1.25</v>
      </c>
    </row>
    <row r="136" spans="1:21" s="19" customFormat="1">
      <c r="A136" s="19">
        <v>4</v>
      </c>
      <c r="B136" s="845" t="str">
        <f t="shared" si="99"/>
        <v>Modern Workplace Offering</v>
      </c>
      <c r="C136" s="1075">
        <f t="shared" si="100"/>
        <v>0.75</v>
      </c>
      <c r="D136" s="1077">
        <f t="shared" ca="1" si="101"/>
        <v>13</v>
      </c>
      <c r="E136" s="1070">
        <f t="shared" ref="E136:N136" si="106">calcMMScoreProd3</f>
        <v>13</v>
      </c>
      <c r="F136" s="1070">
        <f t="shared" si="106"/>
        <v>13</v>
      </c>
      <c r="G136" s="1070">
        <f t="shared" si="106"/>
        <v>13</v>
      </c>
      <c r="H136" s="1070">
        <f t="shared" si="106"/>
        <v>13</v>
      </c>
      <c r="I136" s="1070">
        <f t="shared" si="106"/>
        <v>13</v>
      </c>
      <c r="J136" s="1070">
        <f t="shared" si="106"/>
        <v>13</v>
      </c>
      <c r="K136" s="1070">
        <f t="shared" si="106"/>
        <v>13</v>
      </c>
      <c r="L136" s="1070">
        <f t="shared" si="106"/>
        <v>13</v>
      </c>
      <c r="M136" s="1070">
        <f t="shared" si="106"/>
        <v>13</v>
      </c>
      <c r="N136" s="1070">
        <f t="shared" si="106"/>
        <v>13</v>
      </c>
      <c r="O136" s="865">
        <f t="shared" ca="1" si="103"/>
        <v>9.75</v>
      </c>
      <c r="P136" s="845" t="s">
        <v>2504</v>
      </c>
      <c r="R136" s="866">
        <v>1</v>
      </c>
      <c r="S136" s="1066">
        <v>0.75</v>
      </c>
      <c r="T136" s="1066">
        <v>1.75</v>
      </c>
      <c r="U136" s="1066">
        <v>1.75</v>
      </c>
    </row>
    <row r="137" spans="1:21" s="19" customFormat="1">
      <c r="A137" s="19">
        <v>5</v>
      </c>
      <c r="B137" s="845" t="str">
        <f t="shared" si="99"/>
        <v>Sales Force Effectiveness</v>
      </c>
      <c r="C137" s="1075">
        <f t="shared" si="100"/>
        <v>1.1499999999999999</v>
      </c>
      <c r="D137" s="1077">
        <f t="shared" ca="1" si="101"/>
        <v>199.5</v>
      </c>
      <c r="E137" s="1070">
        <f t="shared" ref="E137:N137" si="107">calcSeg3DirectSalesforceMMScore</f>
        <v>199.5</v>
      </c>
      <c r="F137" s="1070">
        <f t="shared" si="107"/>
        <v>199.5</v>
      </c>
      <c r="G137" s="1070">
        <f t="shared" si="107"/>
        <v>199.5</v>
      </c>
      <c r="H137" s="1070">
        <f t="shared" si="107"/>
        <v>199.5</v>
      </c>
      <c r="I137" s="1070">
        <f t="shared" si="107"/>
        <v>199.5</v>
      </c>
      <c r="J137" s="1070">
        <f t="shared" si="107"/>
        <v>199.5</v>
      </c>
      <c r="K137" s="1070">
        <f t="shared" si="107"/>
        <v>199.5</v>
      </c>
      <c r="L137" s="1070">
        <f t="shared" si="107"/>
        <v>199.5</v>
      </c>
      <c r="M137" s="1070">
        <f t="shared" si="107"/>
        <v>199.5</v>
      </c>
      <c r="N137" s="1070">
        <f t="shared" si="107"/>
        <v>199.5</v>
      </c>
      <c r="O137" s="865">
        <f t="shared" ca="1" si="103"/>
        <v>229.42499999999998</v>
      </c>
      <c r="P137" s="845" t="s">
        <v>2505</v>
      </c>
      <c r="R137" s="866">
        <v>1</v>
      </c>
      <c r="S137" s="1066">
        <v>1.1499999999999999</v>
      </c>
      <c r="T137" s="1066">
        <v>1.1499999999999999</v>
      </c>
      <c r="U137" s="1066">
        <v>1.1499999999999999</v>
      </c>
    </row>
    <row r="138" spans="1:21" s="19" customFormat="1">
      <c r="A138" s="19">
        <v>6</v>
      </c>
      <c r="B138" s="845" t="str">
        <f t="shared" si="99"/>
        <v>Partner Relationships</v>
      </c>
      <c r="C138" s="1075">
        <f t="shared" si="100"/>
        <v>0.75</v>
      </c>
      <c r="D138" s="1077">
        <f t="shared" ca="1" si="101"/>
        <v>6.03</v>
      </c>
      <c r="E138" s="1070">
        <f t="shared" ref="E138:N138" si="108">calcProd3Seg3PartnerMMScore</f>
        <v>6.0299999999999994</v>
      </c>
      <c r="F138" s="1070">
        <f t="shared" si="108"/>
        <v>6.0299999999999994</v>
      </c>
      <c r="G138" s="1070">
        <f t="shared" si="108"/>
        <v>6.0299999999999994</v>
      </c>
      <c r="H138" s="1070">
        <f t="shared" si="108"/>
        <v>6.0299999999999994</v>
      </c>
      <c r="I138" s="1070">
        <f t="shared" si="108"/>
        <v>6.0299999999999994</v>
      </c>
      <c r="J138" s="1070">
        <f t="shared" si="108"/>
        <v>6.0299999999999994</v>
      </c>
      <c r="K138" s="1070">
        <f t="shared" si="108"/>
        <v>6.0299999999999994</v>
      </c>
      <c r="L138" s="1070">
        <f t="shared" si="108"/>
        <v>6.0299999999999994</v>
      </c>
      <c r="M138" s="1070">
        <f t="shared" si="108"/>
        <v>6.0299999999999994</v>
      </c>
      <c r="N138" s="1070">
        <f t="shared" si="108"/>
        <v>6.0299999999999994</v>
      </c>
      <c r="O138" s="865">
        <f t="shared" ca="1" si="103"/>
        <v>4.5225</v>
      </c>
      <c r="P138" s="845" t="s">
        <v>2506</v>
      </c>
      <c r="R138" s="866">
        <v>1</v>
      </c>
      <c r="S138" s="1066">
        <v>0.75</v>
      </c>
      <c r="T138" s="1066">
        <v>0.75</v>
      </c>
      <c r="U138" s="1066">
        <v>0.75</v>
      </c>
    </row>
    <row r="139" spans="1:21" s="19" customFormat="1">
      <c r="C139" s="937"/>
      <c r="D139" s="1080"/>
      <c r="P139" s="845"/>
    </row>
    <row r="140" spans="1:21" s="867" customFormat="1">
      <c r="A140" s="867" t="s">
        <v>2702</v>
      </c>
      <c r="C140" s="1073"/>
      <c r="D140" s="1079"/>
      <c r="P140" s="868"/>
      <c r="R140" s="869" t="s">
        <v>765</v>
      </c>
      <c r="S140" s="869" t="s">
        <v>764</v>
      </c>
      <c r="T140" s="869" t="s">
        <v>763</v>
      </c>
      <c r="U140" s="869" t="s">
        <v>762</v>
      </c>
    </row>
    <row r="141" spans="1:21" s="19" customFormat="1">
      <c r="C141" s="937"/>
      <c r="D141" s="1080"/>
      <c r="P141" s="845"/>
    </row>
    <row r="142" spans="1:21" s="861" customFormat="1" ht="41.4" customHeight="1">
      <c r="B142" s="861" t="s">
        <v>2436</v>
      </c>
      <c r="C142" s="936" t="s">
        <v>2435</v>
      </c>
      <c r="D142" s="1081" t="s">
        <v>2898</v>
      </c>
      <c r="E142" s="861" t="str">
        <f t="shared" ref="E142:N142" si="109">decTeamName</f>
        <v>Nimbolt</v>
      </c>
      <c r="F142" s="861" t="str">
        <f t="shared" si="109"/>
        <v>Nimbolt</v>
      </c>
      <c r="G142" s="861" t="str">
        <f t="shared" si="109"/>
        <v>Nimbolt</v>
      </c>
      <c r="H142" s="861" t="str">
        <f t="shared" si="109"/>
        <v>Nimbolt</v>
      </c>
      <c r="I142" s="861" t="str">
        <f t="shared" si="109"/>
        <v>Nimbolt</v>
      </c>
      <c r="J142" s="861" t="str">
        <f t="shared" si="109"/>
        <v>Nimbolt</v>
      </c>
      <c r="K142" s="861" t="str">
        <f t="shared" si="109"/>
        <v>Nimbolt</v>
      </c>
      <c r="L142" s="861" t="str">
        <f t="shared" si="109"/>
        <v>Nimbolt</v>
      </c>
      <c r="M142" s="861" t="str">
        <f t="shared" si="109"/>
        <v>Nimbolt</v>
      </c>
      <c r="N142" s="861" t="str">
        <f t="shared" si="109"/>
        <v>Nimbolt</v>
      </c>
      <c r="O142" s="863" t="s">
        <v>749</v>
      </c>
      <c r="P142" s="864"/>
      <c r="R142" s="862" t="s">
        <v>2435</v>
      </c>
      <c r="S142" s="862" t="s">
        <v>2435</v>
      </c>
      <c r="T142" s="862" t="s">
        <v>2435</v>
      </c>
      <c r="U142" s="862" t="s">
        <v>2435</v>
      </c>
    </row>
    <row r="143" spans="1:21" s="19" customFormat="1">
      <c r="B143" s="845" t="s">
        <v>450</v>
      </c>
      <c r="C143" s="1075">
        <f t="shared" ref="C143:C151" si="110">CHOOSE(xxRound+1,R143,S143,T143,U143)</f>
        <v>0.9</v>
      </c>
      <c r="D143" s="1077">
        <f t="shared" ref="D143:D151" ca="1" si="111">AVERAGE(OFFSET($E143:$N143,0,0,1,xxNumOfTeams))</f>
        <v>7</v>
      </c>
      <c r="E143" s="1070">
        <f t="shared" ref="E143:N143" si="112">obalEGSecurity</f>
        <v>7</v>
      </c>
      <c r="F143" s="1070">
        <f t="shared" si="112"/>
        <v>7</v>
      </c>
      <c r="G143" s="1070">
        <f t="shared" si="112"/>
        <v>7</v>
      </c>
      <c r="H143" s="1070">
        <f t="shared" si="112"/>
        <v>7</v>
      </c>
      <c r="I143" s="1070">
        <f t="shared" si="112"/>
        <v>7</v>
      </c>
      <c r="J143" s="1070">
        <f t="shared" si="112"/>
        <v>7</v>
      </c>
      <c r="K143" s="1070">
        <f t="shared" si="112"/>
        <v>7</v>
      </c>
      <c r="L143" s="1070">
        <f t="shared" si="112"/>
        <v>7</v>
      </c>
      <c r="M143" s="1070">
        <f t="shared" si="112"/>
        <v>7</v>
      </c>
      <c r="N143" s="1070">
        <f t="shared" si="112"/>
        <v>7</v>
      </c>
      <c r="O143" s="1111">
        <f t="shared" ref="O143:O151" ca="1" si="113">D143*$C143</f>
        <v>6.3</v>
      </c>
      <c r="P143" s="845"/>
      <c r="R143" s="866">
        <v>1</v>
      </c>
      <c r="S143" s="1066">
        <v>0.9</v>
      </c>
      <c r="T143" s="1066">
        <v>0.9</v>
      </c>
      <c r="U143" s="1066">
        <v>0.9</v>
      </c>
    </row>
    <row r="144" spans="1:21" s="19" customFormat="1">
      <c r="B144" s="845" t="s">
        <v>453</v>
      </c>
      <c r="C144" s="1075">
        <f t="shared" si="110"/>
        <v>1.25</v>
      </c>
      <c r="D144" s="1077">
        <f t="shared" ca="1" si="111"/>
        <v>4</v>
      </c>
      <c r="E144" s="1070">
        <f t="shared" ref="E144:N144" si="114">obalEGInteroperability</f>
        <v>4</v>
      </c>
      <c r="F144" s="1070">
        <f t="shared" si="114"/>
        <v>4</v>
      </c>
      <c r="G144" s="1070">
        <f t="shared" si="114"/>
        <v>4</v>
      </c>
      <c r="H144" s="1070">
        <f t="shared" si="114"/>
        <v>4</v>
      </c>
      <c r="I144" s="1070">
        <f t="shared" si="114"/>
        <v>4</v>
      </c>
      <c r="J144" s="1070">
        <f t="shared" si="114"/>
        <v>4</v>
      </c>
      <c r="K144" s="1070">
        <f t="shared" si="114"/>
        <v>4</v>
      </c>
      <c r="L144" s="1070">
        <f t="shared" si="114"/>
        <v>4</v>
      </c>
      <c r="M144" s="1070">
        <f t="shared" si="114"/>
        <v>4</v>
      </c>
      <c r="N144" s="1070">
        <f t="shared" si="114"/>
        <v>4</v>
      </c>
      <c r="O144" s="1111">
        <f t="shared" ca="1" si="113"/>
        <v>5</v>
      </c>
      <c r="P144" s="845"/>
      <c r="R144" s="866">
        <v>1</v>
      </c>
      <c r="S144" s="1066">
        <v>1.25</v>
      </c>
      <c r="T144" s="1066">
        <v>1.25</v>
      </c>
      <c r="U144" s="1066">
        <v>1.25</v>
      </c>
    </row>
    <row r="145" spans="2:21" s="19" customFormat="1">
      <c r="B145" s="845" t="s">
        <v>451</v>
      </c>
      <c r="C145" s="1075">
        <f t="shared" si="110"/>
        <v>1.1499999999999999</v>
      </c>
      <c r="D145" s="1077">
        <f t="shared" ca="1" si="111"/>
        <v>5</v>
      </c>
      <c r="E145" s="1070">
        <f t="shared" ref="E145:N145" si="115">obalEGScalability</f>
        <v>5</v>
      </c>
      <c r="F145" s="1070">
        <f t="shared" si="115"/>
        <v>5</v>
      </c>
      <c r="G145" s="1070">
        <f t="shared" si="115"/>
        <v>5</v>
      </c>
      <c r="H145" s="1070">
        <f t="shared" si="115"/>
        <v>5</v>
      </c>
      <c r="I145" s="1070">
        <f t="shared" si="115"/>
        <v>5</v>
      </c>
      <c r="J145" s="1070">
        <f t="shared" si="115"/>
        <v>5</v>
      </c>
      <c r="K145" s="1070">
        <f t="shared" si="115"/>
        <v>5</v>
      </c>
      <c r="L145" s="1070">
        <f t="shared" si="115"/>
        <v>5</v>
      </c>
      <c r="M145" s="1070">
        <f t="shared" si="115"/>
        <v>5</v>
      </c>
      <c r="N145" s="1070">
        <f t="shared" si="115"/>
        <v>5</v>
      </c>
      <c r="O145" s="1111">
        <f t="shared" ca="1" si="113"/>
        <v>5.75</v>
      </c>
      <c r="P145" s="845"/>
      <c r="R145" s="866">
        <v>1</v>
      </c>
      <c r="S145" s="1066">
        <v>1.1499999999999999</v>
      </c>
      <c r="T145" s="1066">
        <v>1.1499999999999999</v>
      </c>
      <c r="U145" s="1066">
        <v>1.1499999999999999</v>
      </c>
    </row>
    <row r="146" spans="2:21" s="19" customFormat="1">
      <c r="B146" s="845" t="str">
        <f>nmProd1Offering1</f>
        <v>Workspace 365</v>
      </c>
      <c r="C146" s="1075">
        <f t="shared" si="110"/>
        <v>0.75</v>
      </c>
      <c r="D146" s="1077">
        <f t="shared" ca="1" si="111"/>
        <v>8</v>
      </c>
      <c r="E146" s="1070">
        <f t="shared" ref="E146:N146" si="116">obalEGProd1Offering1</f>
        <v>8</v>
      </c>
      <c r="F146" s="1070">
        <f t="shared" si="116"/>
        <v>8</v>
      </c>
      <c r="G146" s="1070">
        <f t="shared" si="116"/>
        <v>8</v>
      </c>
      <c r="H146" s="1070">
        <f t="shared" si="116"/>
        <v>8</v>
      </c>
      <c r="I146" s="1070">
        <f t="shared" si="116"/>
        <v>8</v>
      </c>
      <c r="J146" s="1070">
        <f t="shared" si="116"/>
        <v>8</v>
      </c>
      <c r="K146" s="1070">
        <f t="shared" si="116"/>
        <v>8</v>
      </c>
      <c r="L146" s="1070">
        <f t="shared" si="116"/>
        <v>8</v>
      </c>
      <c r="M146" s="1070">
        <f t="shared" si="116"/>
        <v>8</v>
      </c>
      <c r="N146" s="1070">
        <f t="shared" si="116"/>
        <v>8</v>
      </c>
      <c r="O146" s="1111">
        <f t="shared" ca="1" si="113"/>
        <v>6</v>
      </c>
      <c r="P146" s="845"/>
      <c r="R146" s="866">
        <v>1</v>
      </c>
      <c r="S146" s="1066">
        <v>0.75</v>
      </c>
      <c r="T146" s="1066">
        <v>0.75</v>
      </c>
      <c r="U146" s="1066">
        <v>0.75</v>
      </c>
    </row>
    <row r="147" spans="2:21" s="19" customFormat="1">
      <c r="B147" s="845" t="str">
        <f>nmProd1Offering2</f>
        <v>Dynamo 365</v>
      </c>
      <c r="C147" s="1075">
        <f t="shared" si="110"/>
        <v>1.25</v>
      </c>
      <c r="D147" s="1077">
        <f t="shared" ca="1" si="111"/>
        <v>6</v>
      </c>
      <c r="E147" s="1070">
        <f t="shared" ref="E147:N147" si="117">obalEGProd1Offering2</f>
        <v>6</v>
      </c>
      <c r="F147" s="1070">
        <f t="shared" si="117"/>
        <v>6</v>
      </c>
      <c r="G147" s="1070">
        <f t="shared" si="117"/>
        <v>6</v>
      </c>
      <c r="H147" s="1070">
        <f t="shared" si="117"/>
        <v>6</v>
      </c>
      <c r="I147" s="1070">
        <f t="shared" si="117"/>
        <v>6</v>
      </c>
      <c r="J147" s="1070">
        <f t="shared" si="117"/>
        <v>6</v>
      </c>
      <c r="K147" s="1070">
        <f t="shared" si="117"/>
        <v>6</v>
      </c>
      <c r="L147" s="1070">
        <f t="shared" si="117"/>
        <v>6</v>
      </c>
      <c r="M147" s="1070">
        <f t="shared" si="117"/>
        <v>6</v>
      </c>
      <c r="N147" s="1070">
        <f t="shared" si="117"/>
        <v>6</v>
      </c>
      <c r="O147" s="1111">
        <f t="shared" ca="1" si="113"/>
        <v>7.5</v>
      </c>
      <c r="P147" s="845"/>
      <c r="R147" s="866">
        <v>1</v>
      </c>
      <c r="S147" s="1066">
        <v>1.25</v>
      </c>
      <c r="T147" s="1066">
        <v>1.25</v>
      </c>
      <c r="U147" s="1066">
        <v>1.25</v>
      </c>
    </row>
    <row r="148" spans="2:21">
      <c r="B148" s="845" t="str">
        <f>nmProd2Offering1</f>
        <v>Azul Infrastructure</v>
      </c>
      <c r="C148" s="1075">
        <f t="shared" si="110"/>
        <v>1.25</v>
      </c>
      <c r="D148" s="1077">
        <f t="shared" ca="1" si="111"/>
        <v>4</v>
      </c>
      <c r="E148" s="1070">
        <f t="shared" ref="E148:N148" si="118">obalEGProd2Offering1</f>
        <v>4</v>
      </c>
      <c r="F148" s="1070">
        <f t="shared" si="118"/>
        <v>4</v>
      </c>
      <c r="G148" s="1070">
        <f t="shared" si="118"/>
        <v>4</v>
      </c>
      <c r="H148" s="1070">
        <f t="shared" si="118"/>
        <v>4</v>
      </c>
      <c r="I148" s="1070">
        <f t="shared" si="118"/>
        <v>4</v>
      </c>
      <c r="J148" s="1070">
        <f t="shared" si="118"/>
        <v>4</v>
      </c>
      <c r="K148" s="1070">
        <f t="shared" si="118"/>
        <v>4</v>
      </c>
      <c r="L148" s="1070">
        <f t="shared" si="118"/>
        <v>4</v>
      </c>
      <c r="M148" s="1070">
        <f t="shared" si="118"/>
        <v>4</v>
      </c>
      <c r="N148" s="1070">
        <f t="shared" si="118"/>
        <v>4</v>
      </c>
      <c r="O148" s="1111">
        <f t="shared" ca="1" si="113"/>
        <v>5</v>
      </c>
      <c r="R148" s="866">
        <v>1</v>
      </c>
      <c r="S148" s="1066">
        <v>1.25</v>
      </c>
      <c r="T148" s="1066">
        <v>1.25</v>
      </c>
      <c r="U148" s="1066">
        <v>1.25</v>
      </c>
    </row>
    <row r="149" spans="2:21">
      <c r="B149" s="845" t="str">
        <f>nmProd2Offering2</f>
        <v>Azul Data, Applications, and AI</v>
      </c>
      <c r="C149" s="1075">
        <f t="shared" si="110"/>
        <v>1.1499999999999999</v>
      </c>
      <c r="D149" s="1077">
        <f t="shared" ca="1" si="111"/>
        <v>4</v>
      </c>
      <c r="E149" s="1070">
        <f t="shared" ref="E149:N149" si="119">obalEGProd2Offering2</f>
        <v>4</v>
      </c>
      <c r="F149" s="1070">
        <f t="shared" si="119"/>
        <v>4</v>
      </c>
      <c r="G149" s="1070">
        <f t="shared" si="119"/>
        <v>4</v>
      </c>
      <c r="H149" s="1070">
        <f t="shared" si="119"/>
        <v>4</v>
      </c>
      <c r="I149" s="1070">
        <f t="shared" si="119"/>
        <v>4</v>
      </c>
      <c r="J149" s="1070">
        <f t="shared" si="119"/>
        <v>4</v>
      </c>
      <c r="K149" s="1070">
        <f t="shared" si="119"/>
        <v>4</v>
      </c>
      <c r="L149" s="1070">
        <f t="shared" si="119"/>
        <v>4</v>
      </c>
      <c r="M149" s="1070">
        <f t="shared" si="119"/>
        <v>4</v>
      </c>
      <c r="N149" s="1070">
        <f t="shared" si="119"/>
        <v>4</v>
      </c>
      <c r="O149" s="1111">
        <f t="shared" ca="1" si="113"/>
        <v>4.5999999999999996</v>
      </c>
      <c r="R149" s="866">
        <v>1</v>
      </c>
      <c r="S149" s="1066">
        <v>1.1499999999999999</v>
      </c>
      <c r="T149" s="1066">
        <v>1.1499999999999999</v>
      </c>
      <c r="U149" s="1066">
        <v>1.1499999999999999</v>
      </c>
    </row>
    <row r="150" spans="2:21">
      <c r="B150" s="845" t="str">
        <f>nmProd3Offering1</f>
        <v>Doors OS</v>
      </c>
      <c r="C150" s="1075">
        <f t="shared" si="110"/>
        <v>0.75</v>
      </c>
      <c r="D150" s="1077">
        <f t="shared" ca="1" si="111"/>
        <v>7</v>
      </c>
      <c r="E150" s="1070">
        <f t="shared" ref="E150:N150" si="120">obalEGProd3Offering1</f>
        <v>7</v>
      </c>
      <c r="F150" s="1070">
        <f t="shared" si="120"/>
        <v>7</v>
      </c>
      <c r="G150" s="1070">
        <f t="shared" si="120"/>
        <v>7</v>
      </c>
      <c r="H150" s="1070">
        <f t="shared" si="120"/>
        <v>7</v>
      </c>
      <c r="I150" s="1070">
        <f t="shared" si="120"/>
        <v>7</v>
      </c>
      <c r="J150" s="1070">
        <f t="shared" si="120"/>
        <v>7</v>
      </c>
      <c r="K150" s="1070">
        <f t="shared" si="120"/>
        <v>7</v>
      </c>
      <c r="L150" s="1070">
        <f t="shared" si="120"/>
        <v>7</v>
      </c>
      <c r="M150" s="1070">
        <f t="shared" si="120"/>
        <v>7</v>
      </c>
      <c r="N150" s="1070">
        <f t="shared" si="120"/>
        <v>7</v>
      </c>
      <c r="O150" s="1111">
        <f t="shared" ca="1" si="113"/>
        <v>5.25</v>
      </c>
      <c r="R150" s="866">
        <v>1</v>
      </c>
      <c r="S150" s="1066">
        <v>0.75</v>
      </c>
      <c r="T150" s="1066">
        <v>0.75</v>
      </c>
      <c r="U150" s="1066">
        <v>0.75</v>
      </c>
    </row>
    <row r="151" spans="2:21">
      <c r="B151" s="845" t="str">
        <f>nmProd3Offering2</f>
        <v>Devices</v>
      </c>
      <c r="C151" s="1075">
        <f t="shared" si="110"/>
        <v>1.25</v>
      </c>
      <c r="D151" s="1077">
        <f t="shared" ca="1" si="111"/>
        <v>6</v>
      </c>
      <c r="E151" s="1070">
        <f t="shared" ref="E151:N151" si="121">obalEGProd3Offering2</f>
        <v>6</v>
      </c>
      <c r="F151" s="1070">
        <f t="shared" si="121"/>
        <v>6</v>
      </c>
      <c r="G151" s="1070">
        <f t="shared" si="121"/>
        <v>6</v>
      </c>
      <c r="H151" s="1070">
        <f t="shared" si="121"/>
        <v>6</v>
      </c>
      <c r="I151" s="1070">
        <f t="shared" si="121"/>
        <v>6</v>
      </c>
      <c r="J151" s="1070">
        <f t="shared" si="121"/>
        <v>6</v>
      </c>
      <c r="K151" s="1070">
        <f t="shared" si="121"/>
        <v>6</v>
      </c>
      <c r="L151" s="1070">
        <f t="shared" si="121"/>
        <v>6</v>
      </c>
      <c r="M151" s="1070">
        <f t="shared" si="121"/>
        <v>6</v>
      </c>
      <c r="N151" s="1070">
        <f t="shared" si="121"/>
        <v>6</v>
      </c>
      <c r="O151" s="1111">
        <f t="shared" ca="1" si="113"/>
        <v>7.5</v>
      </c>
      <c r="R151" s="866">
        <v>1</v>
      </c>
      <c r="S151" s="1066">
        <v>1.25</v>
      </c>
      <c r="T151" s="1066">
        <v>1.25</v>
      </c>
      <c r="U151" s="1066">
        <v>1.25</v>
      </c>
    </row>
    <row r="152" spans="2:21">
      <c r="P152"/>
    </row>
    <row r="153" spans="2:21">
      <c r="B153" s="845" t="s">
        <v>450</v>
      </c>
      <c r="E153" s="1071">
        <f t="shared" ref="E153:E161" ca="1" si="122">IF(xxRound&lt;2,O143,AVERAGE(OFFSET($E143:$N143,0,0,1,xxNumOfTeams),O143))</f>
        <v>6.3</v>
      </c>
      <c r="F153" t="s">
        <v>2703</v>
      </c>
      <c r="P153"/>
    </row>
    <row r="154" spans="2:21">
      <c r="B154" s="845" t="s">
        <v>453</v>
      </c>
      <c r="E154" s="1071">
        <f t="shared" ca="1" si="122"/>
        <v>5</v>
      </c>
      <c r="F154" t="s">
        <v>2704</v>
      </c>
      <c r="P154"/>
    </row>
    <row r="155" spans="2:21">
      <c r="B155" s="845" t="s">
        <v>451</v>
      </c>
      <c r="E155" s="1071">
        <f t="shared" ca="1" si="122"/>
        <v>5.75</v>
      </c>
      <c r="F155" t="s">
        <v>2705</v>
      </c>
      <c r="P155"/>
    </row>
    <row r="156" spans="2:21">
      <c r="B156" s="845" t="str">
        <f>nmProd1Offering1</f>
        <v>Workspace 365</v>
      </c>
      <c r="E156" s="1071">
        <f t="shared" ca="1" si="122"/>
        <v>6</v>
      </c>
      <c r="F156" t="s">
        <v>2706</v>
      </c>
      <c r="P156"/>
    </row>
    <row r="157" spans="2:21">
      <c r="B157" s="845" t="str">
        <f>nmProd1Offering2</f>
        <v>Dynamo 365</v>
      </c>
      <c r="E157" s="1071">
        <f t="shared" ca="1" si="122"/>
        <v>7.5</v>
      </c>
      <c r="F157" t="s">
        <v>2707</v>
      </c>
      <c r="P157"/>
    </row>
    <row r="158" spans="2:21">
      <c r="B158" s="845" t="str">
        <f>nmProd2Offering1</f>
        <v>Azul Infrastructure</v>
      </c>
      <c r="E158" s="1071">
        <f t="shared" ca="1" si="122"/>
        <v>5</v>
      </c>
      <c r="F158" t="s">
        <v>2708</v>
      </c>
      <c r="P158"/>
    </row>
    <row r="159" spans="2:21">
      <c r="B159" s="845" t="str">
        <f>nmProd2Offering2</f>
        <v>Azul Data, Applications, and AI</v>
      </c>
      <c r="E159" s="1071">
        <f t="shared" ca="1" si="122"/>
        <v>4.5999999999999996</v>
      </c>
      <c r="F159" t="s">
        <v>2709</v>
      </c>
      <c r="P159"/>
    </row>
    <row r="160" spans="2:21">
      <c r="B160" s="845" t="str">
        <f>nmProd3Offering1</f>
        <v>Doors OS</v>
      </c>
      <c r="E160" s="1071">
        <f t="shared" ca="1" si="122"/>
        <v>5.25</v>
      </c>
      <c r="F160" t="s">
        <v>2710</v>
      </c>
      <c r="P160"/>
    </row>
    <row r="161" spans="1:21">
      <c r="B161" s="845" t="str">
        <f>nmProd3Offering2</f>
        <v>Devices</v>
      </c>
      <c r="E161" s="1071">
        <f t="shared" ca="1" si="122"/>
        <v>7.5</v>
      </c>
      <c r="F161" t="s">
        <v>2711</v>
      </c>
      <c r="P161"/>
    </row>
    <row r="163" spans="1:21" s="19" customFormat="1">
      <c r="C163" s="937"/>
      <c r="D163" s="1080"/>
      <c r="P163" s="845"/>
    </row>
    <row r="164" spans="1:21" s="867" customFormat="1">
      <c r="A164" s="867" t="s">
        <v>2712</v>
      </c>
      <c r="C164" s="1073"/>
      <c r="D164" s="1079"/>
      <c r="P164" s="868"/>
      <c r="R164" s="869" t="s">
        <v>765</v>
      </c>
      <c r="S164" s="869" t="s">
        <v>764</v>
      </c>
      <c r="T164" s="869" t="s">
        <v>763</v>
      </c>
      <c r="U164" s="869" t="s">
        <v>762</v>
      </c>
    </row>
    <row r="165" spans="1:21" s="19" customFormat="1">
      <c r="C165" s="937"/>
      <c r="D165" s="1080"/>
      <c r="P165" s="845"/>
    </row>
    <row r="166" spans="1:21" s="861" customFormat="1" ht="41.4" customHeight="1">
      <c r="B166" s="861" t="s">
        <v>2436</v>
      </c>
      <c r="C166" s="936" t="s">
        <v>2435</v>
      </c>
      <c r="D166" s="1081" t="s">
        <v>2898</v>
      </c>
      <c r="E166" s="861" t="str">
        <f t="shared" ref="E166:N166" si="123">decTeamName</f>
        <v>Nimbolt</v>
      </c>
      <c r="F166" s="861" t="str">
        <f t="shared" si="123"/>
        <v>Nimbolt</v>
      </c>
      <c r="G166" s="861" t="str">
        <f t="shared" si="123"/>
        <v>Nimbolt</v>
      </c>
      <c r="H166" s="861" t="str">
        <f t="shared" si="123"/>
        <v>Nimbolt</v>
      </c>
      <c r="I166" s="861" t="str">
        <f t="shared" si="123"/>
        <v>Nimbolt</v>
      </c>
      <c r="J166" s="861" t="str">
        <f t="shared" si="123"/>
        <v>Nimbolt</v>
      </c>
      <c r="K166" s="861" t="str">
        <f t="shared" si="123"/>
        <v>Nimbolt</v>
      </c>
      <c r="L166" s="861" t="str">
        <f t="shared" si="123"/>
        <v>Nimbolt</v>
      </c>
      <c r="M166" s="861" t="str">
        <f t="shared" si="123"/>
        <v>Nimbolt</v>
      </c>
      <c r="N166" s="861" t="str">
        <f t="shared" si="123"/>
        <v>Nimbolt</v>
      </c>
      <c r="O166" s="863" t="s">
        <v>749</v>
      </c>
      <c r="P166" s="864"/>
      <c r="R166" s="862" t="s">
        <v>2435</v>
      </c>
      <c r="S166" s="862" t="s">
        <v>2435</v>
      </c>
      <c r="T166" s="862" t="s">
        <v>2435</v>
      </c>
      <c r="U166" s="862" t="s">
        <v>2435</v>
      </c>
    </row>
    <row r="167" spans="1:21" s="19" customFormat="1">
      <c r="B167" s="845" t="str">
        <f>nmSkill1</f>
        <v>Technical Expertise</v>
      </c>
      <c r="C167" s="1075">
        <f>CHOOSE(xxRound+1,R167,S167,T167,U167)</f>
        <v>0.75</v>
      </c>
      <c r="D167" s="1077">
        <f ca="1">AVERAGE(OFFSET($E167:$N167,0,0,1,xxNumOfTeams))</f>
        <v>8</v>
      </c>
      <c r="E167" s="1070">
        <f t="shared" ref="E167:N167" si="124">obalCommercialSkill1</f>
        <v>8</v>
      </c>
      <c r="F167" s="1070">
        <f t="shared" si="124"/>
        <v>8</v>
      </c>
      <c r="G167" s="1070">
        <f t="shared" si="124"/>
        <v>8</v>
      </c>
      <c r="H167" s="1070">
        <f t="shared" si="124"/>
        <v>8</v>
      </c>
      <c r="I167" s="1070">
        <f t="shared" si="124"/>
        <v>8</v>
      </c>
      <c r="J167" s="1070">
        <f t="shared" si="124"/>
        <v>8</v>
      </c>
      <c r="K167" s="1070">
        <f t="shared" si="124"/>
        <v>8</v>
      </c>
      <c r="L167" s="1070">
        <f t="shared" si="124"/>
        <v>8</v>
      </c>
      <c r="M167" s="1070">
        <f t="shared" si="124"/>
        <v>8</v>
      </c>
      <c r="N167" s="1070">
        <f t="shared" si="124"/>
        <v>8</v>
      </c>
      <c r="O167" s="865">
        <f ca="1">D167*$C167</f>
        <v>6</v>
      </c>
      <c r="P167" s="845"/>
      <c r="R167" s="866">
        <v>1</v>
      </c>
      <c r="S167" s="1066">
        <v>0.75</v>
      </c>
      <c r="T167" s="1066">
        <v>0.75</v>
      </c>
      <c r="U167" s="1066">
        <v>0.75</v>
      </c>
    </row>
    <row r="168" spans="1:21" s="19" customFormat="1">
      <c r="B168" s="845" t="str">
        <f>nmSkill2</f>
        <v>Consultative Skills</v>
      </c>
      <c r="C168" s="1075">
        <f>CHOOSE(xxRound+1,R168,S168,T168,U168)</f>
        <v>1.25</v>
      </c>
      <c r="D168" s="1077">
        <f ca="1">AVERAGE(OFFSET($E168:$N168,0,0,1,xxNumOfTeams))</f>
        <v>5</v>
      </c>
      <c r="E168" s="1070">
        <f t="shared" ref="E168:N168" si="125">obalCommercialSkill2</f>
        <v>5</v>
      </c>
      <c r="F168" s="1070">
        <f t="shared" si="125"/>
        <v>5</v>
      </c>
      <c r="G168" s="1070">
        <f t="shared" si="125"/>
        <v>5</v>
      </c>
      <c r="H168" s="1070">
        <f t="shared" si="125"/>
        <v>5</v>
      </c>
      <c r="I168" s="1070">
        <f t="shared" si="125"/>
        <v>5</v>
      </c>
      <c r="J168" s="1070">
        <f t="shared" si="125"/>
        <v>5</v>
      </c>
      <c r="K168" s="1070">
        <f t="shared" si="125"/>
        <v>5</v>
      </c>
      <c r="L168" s="1070">
        <f t="shared" si="125"/>
        <v>5</v>
      </c>
      <c r="M168" s="1070">
        <f t="shared" si="125"/>
        <v>5</v>
      </c>
      <c r="N168" s="1070">
        <f t="shared" si="125"/>
        <v>5</v>
      </c>
      <c r="O168" s="865">
        <f ca="1">D168*$C168</f>
        <v>6.25</v>
      </c>
      <c r="P168" s="845"/>
      <c r="R168" s="866">
        <v>1</v>
      </c>
      <c r="S168" s="1066">
        <v>1.25</v>
      </c>
      <c r="T168" s="1066">
        <v>1.25</v>
      </c>
      <c r="U168" s="1066">
        <v>1.25</v>
      </c>
    </row>
    <row r="169" spans="1:21" s="19" customFormat="1">
      <c r="B169" s="845" t="str">
        <f>nmSkill3</f>
        <v>Industry Expertise</v>
      </c>
      <c r="C169" s="1075">
        <f>CHOOSE(xxRound+1,R169,S169,T169,U169)</f>
        <v>1.75</v>
      </c>
      <c r="D169" s="1077">
        <f ca="1">AVERAGE(OFFSET($E169:$N169,0,0,1,xxNumOfTeams))</f>
        <v>2</v>
      </c>
      <c r="E169" s="1070">
        <f t="shared" ref="E169:N169" si="126">obalCommercialSkill3</f>
        <v>2</v>
      </c>
      <c r="F169" s="1070">
        <f t="shared" si="126"/>
        <v>2</v>
      </c>
      <c r="G169" s="1070">
        <f t="shared" si="126"/>
        <v>2</v>
      </c>
      <c r="H169" s="1070">
        <f t="shared" si="126"/>
        <v>2</v>
      </c>
      <c r="I169" s="1070">
        <f t="shared" si="126"/>
        <v>2</v>
      </c>
      <c r="J169" s="1070">
        <f t="shared" si="126"/>
        <v>2</v>
      </c>
      <c r="K169" s="1070">
        <f t="shared" si="126"/>
        <v>2</v>
      </c>
      <c r="L169" s="1070">
        <f t="shared" si="126"/>
        <v>2</v>
      </c>
      <c r="M169" s="1070">
        <f t="shared" si="126"/>
        <v>2</v>
      </c>
      <c r="N169" s="1070">
        <f t="shared" si="126"/>
        <v>2</v>
      </c>
      <c r="O169" s="865">
        <f ca="1">D169*$C169</f>
        <v>3.5</v>
      </c>
      <c r="P169" s="845"/>
      <c r="R169" s="866">
        <v>1</v>
      </c>
      <c r="S169" s="1066">
        <v>1.75</v>
      </c>
      <c r="T169" s="1066">
        <v>1.75</v>
      </c>
      <c r="U169" s="1066">
        <v>1.75</v>
      </c>
    </row>
    <row r="170" spans="1:21">
      <c r="E170" s="1062"/>
      <c r="P170"/>
    </row>
    <row r="171" spans="1:21">
      <c r="B171" s="845" t="str">
        <f>nmSkill1</f>
        <v>Technical Expertise</v>
      </c>
      <c r="E171" s="1071">
        <f ca="1">IF(xxRound&lt;2,O167,AVERAGE(OFFSET($E167:$N167,0,0,1,xxNumOfTeams),O167))</f>
        <v>6</v>
      </c>
      <c r="F171" t="s">
        <v>2713</v>
      </c>
      <c r="P171"/>
    </row>
    <row r="172" spans="1:21">
      <c r="B172" s="845" t="str">
        <f>nmSkill2</f>
        <v>Consultative Skills</v>
      </c>
      <c r="E172" s="1071">
        <f ca="1">IF(xxRound&lt;2,O168,AVERAGE(OFFSET($E168:$N168,0,0,1,xxNumOfTeams),O168))</f>
        <v>6.25</v>
      </c>
      <c r="F172" t="s">
        <v>2714</v>
      </c>
      <c r="P172"/>
    </row>
    <row r="173" spans="1:21">
      <c r="B173" s="845" t="str">
        <f>nmSkill3</f>
        <v>Industry Expertise</v>
      </c>
      <c r="E173" s="1071">
        <f ca="1">IF(xxRound&lt;2,O169,AVERAGE(OFFSET($E169:$N169,0,0,1,xxNumOfTeams),O169))</f>
        <v>3.5</v>
      </c>
      <c r="F173" t="s">
        <v>2715</v>
      </c>
      <c r="P173"/>
    </row>
    <row r="175" spans="1:21" s="19" customFormat="1">
      <c r="C175" s="937"/>
      <c r="D175" s="1080"/>
      <c r="P175" s="845"/>
    </row>
    <row r="176" spans="1:21" s="19" customFormat="1">
      <c r="B176" s="845" t="s">
        <v>557</v>
      </c>
      <c r="C176" s="1075">
        <f>CHOOSE(xxRound+1,R176,S176,T176,U176)</f>
        <v>0.75</v>
      </c>
      <c r="D176" s="1077">
        <f ca="1">AVERAGE(OFFSET($E176:$N176,0,0,1,xxNumOfTeams))</f>
        <v>250</v>
      </c>
      <c r="E176" s="1070">
        <f t="shared" ref="E176:N176" si="127">obalCommercialDirectSalesFTEs</f>
        <v>250</v>
      </c>
      <c r="F176" s="1070">
        <f t="shared" si="127"/>
        <v>250</v>
      </c>
      <c r="G176" s="1070">
        <f t="shared" si="127"/>
        <v>250</v>
      </c>
      <c r="H176" s="1070">
        <f t="shared" si="127"/>
        <v>250</v>
      </c>
      <c r="I176" s="1070">
        <f t="shared" si="127"/>
        <v>250</v>
      </c>
      <c r="J176" s="1070">
        <f t="shared" si="127"/>
        <v>250</v>
      </c>
      <c r="K176" s="1070">
        <f t="shared" si="127"/>
        <v>250</v>
      </c>
      <c r="L176" s="1070">
        <f t="shared" si="127"/>
        <v>250</v>
      </c>
      <c r="M176" s="1070">
        <f t="shared" si="127"/>
        <v>250</v>
      </c>
      <c r="N176" s="1070">
        <f t="shared" si="127"/>
        <v>250</v>
      </c>
      <c r="O176" s="865">
        <f ca="1">D176*$C176</f>
        <v>187.5</v>
      </c>
      <c r="P176" s="845"/>
      <c r="R176" s="866">
        <v>1</v>
      </c>
      <c r="S176" s="1066">
        <v>0.75</v>
      </c>
      <c r="T176" s="1066">
        <v>0.75</v>
      </c>
      <c r="U176" s="1066">
        <v>0.75</v>
      </c>
    </row>
    <row r="177" spans="1:21" s="19" customFormat="1">
      <c r="B177" s="845" t="s">
        <v>421</v>
      </c>
      <c r="C177" s="1075">
        <f>CHOOSE(xxRound+1,R177,S177,T177,U177)</f>
        <v>1.1499999999999999</v>
      </c>
      <c r="D177" s="1077">
        <f ca="1">AVERAGE(OFFSET($E177:$N177,0,0,1,xxNumOfTeams))</f>
        <v>125</v>
      </c>
      <c r="E177" s="1070">
        <f t="shared" ref="E177:N177" si="128">obalCommercialInsideSalesFTEs</f>
        <v>125</v>
      </c>
      <c r="F177" s="1070">
        <f t="shared" si="128"/>
        <v>125</v>
      </c>
      <c r="G177" s="1070">
        <f t="shared" si="128"/>
        <v>125</v>
      </c>
      <c r="H177" s="1070">
        <f t="shared" si="128"/>
        <v>125</v>
      </c>
      <c r="I177" s="1070">
        <f t="shared" si="128"/>
        <v>125</v>
      </c>
      <c r="J177" s="1070">
        <f t="shared" si="128"/>
        <v>125</v>
      </c>
      <c r="K177" s="1070">
        <f t="shared" si="128"/>
        <v>125</v>
      </c>
      <c r="L177" s="1070">
        <f t="shared" si="128"/>
        <v>125</v>
      </c>
      <c r="M177" s="1070">
        <f t="shared" si="128"/>
        <v>125</v>
      </c>
      <c r="N177" s="1070">
        <f t="shared" si="128"/>
        <v>125</v>
      </c>
      <c r="O177" s="865">
        <f ca="1">D177*$C177</f>
        <v>143.75</v>
      </c>
      <c r="P177" s="845"/>
      <c r="R177" s="866">
        <v>1</v>
      </c>
      <c r="S177" s="1066">
        <v>1.1499999999999999</v>
      </c>
      <c r="T177" s="1066">
        <v>1.1499999999999999</v>
      </c>
      <c r="U177" s="1066">
        <v>1.1499999999999999</v>
      </c>
    </row>
    <row r="178" spans="1:21" s="19" customFormat="1">
      <c r="B178" s="845" t="s">
        <v>422</v>
      </c>
      <c r="C178" s="1075">
        <f>CHOOSE(xxRound+1,R178,S178,T178,U178)</f>
        <v>1.1499999999999999</v>
      </c>
      <c r="D178" s="1077">
        <f ca="1">AVERAGE(OFFSET($E178:$N178,0,0,1,xxNumOfTeams))</f>
        <v>90</v>
      </c>
      <c r="E178" s="1070">
        <f t="shared" ref="E178:N178" si="129">obalCommercialServicesFTEs</f>
        <v>90</v>
      </c>
      <c r="F178" s="1070">
        <f t="shared" si="129"/>
        <v>90</v>
      </c>
      <c r="G178" s="1070">
        <f t="shared" si="129"/>
        <v>90</v>
      </c>
      <c r="H178" s="1070">
        <f t="shared" si="129"/>
        <v>90</v>
      </c>
      <c r="I178" s="1070">
        <f t="shared" si="129"/>
        <v>90</v>
      </c>
      <c r="J178" s="1070">
        <f t="shared" si="129"/>
        <v>90</v>
      </c>
      <c r="K178" s="1070">
        <f t="shared" si="129"/>
        <v>90</v>
      </c>
      <c r="L178" s="1070">
        <f t="shared" si="129"/>
        <v>90</v>
      </c>
      <c r="M178" s="1070">
        <f t="shared" si="129"/>
        <v>90</v>
      </c>
      <c r="N178" s="1070">
        <f t="shared" si="129"/>
        <v>90</v>
      </c>
      <c r="O178" s="865">
        <f ca="1">D178*$C178</f>
        <v>103.49999999999999</v>
      </c>
      <c r="P178" s="845"/>
      <c r="R178" s="866">
        <v>1</v>
      </c>
      <c r="S178" s="1066">
        <v>1.1499999999999999</v>
      </c>
      <c r="T178" s="1066">
        <v>1.1499999999999999</v>
      </c>
      <c r="U178" s="1066">
        <v>1.1499999999999999</v>
      </c>
    </row>
    <row r="179" spans="1:21">
      <c r="P179"/>
    </row>
    <row r="180" spans="1:21">
      <c r="B180" s="845" t="s">
        <v>557</v>
      </c>
      <c r="E180" s="1071">
        <f ca="1">IF(xxRound&lt;2,O176,AVERAGE(OFFSET($E176:$N176,0,0,1,xxNumOfTeams),O176))</f>
        <v>187.5</v>
      </c>
      <c r="F180" t="s">
        <v>2716</v>
      </c>
      <c r="P180"/>
    </row>
    <row r="181" spans="1:21">
      <c r="B181" s="845" t="s">
        <v>421</v>
      </c>
      <c r="E181" s="1071">
        <f ca="1">IF(xxRound&lt;2,O177,AVERAGE(OFFSET($E177:$N177,0,0,1,xxNumOfTeams),O177))</f>
        <v>143.75</v>
      </c>
      <c r="F181" t="s">
        <v>2718</v>
      </c>
      <c r="P181"/>
    </row>
    <row r="182" spans="1:21">
      <c r="B182" s="845" t="s">
        <v>422</v>
      </c>
      <c r="E182" s="1071">
        <f ca="1">IF(xxRound&lt;2,O178,AVERAGE(OFFSET($E178:$N178,0,0,1,xxNumOfTeams),O178))</f>
        <v>103.49999999999999</v>
      </c>
      <c r="F182" t="s">
        <v>2717</v>
      </c>
      <c r="P182"/>
    </row>
    <row r="184" spans="1:21" s="19" customFormat="1">
      <c r="C184" s="937"/>
      <c r="D184" s="1080"/>
      <c r="P184" s="845"/>
    </row>
    <row r="185" spans="1:21" s="867" customFormat="1">
      <c r="A185" s="867" t="s">
        <v>2719</v>
      </c>
      <c r="C185" s="1073"/>
      <c r="D185" s="1079"/>
      <c r="P185" s="868"/>
      <c r="R185" s="869" t="s">
        <v>765</v>
      </c>
      <c r="S185" s="869" t="s">
        <v>765</v>
      </c>
      <c r="T185" s="869" t="s">
        <v>765</v>
      </c>
      <c r="U185" s="869" t="s">
        <v>765</v>
      </c>
    </row>
    <row r="186" spans="1:21" s="19" customFormat="1">
      <c r="C186" s="937"/>
      <c r="D186" s="1080"/>
      <c r="P186" s="845"/>
    </row>
    <row r="187" spans="1:21" s="19" customFormat="1">
      <c r="B187" s="845" t="str">
        <f>nmSkill1</f>
        <v>Technical Expertise</v>
      </c>
      <c r="C187" s="1075">
        <f>CHOOSE(xxRound+1,R187,S187,T187,U187)</f>
        <v>0.75</v>
      </c>
      <c r="D187" s="1077">
        <f ca="1">AVERAGE(OFFSET($E187:$N187,0,0,1,xxNumOfTeams))</f>
        <v>8</v>
      </c>
      <c r="E187" s="1070">
        <f t="shared" ref="E187:N187" si="130">obalConsumerSkill1</f>
        <v>8</v>
      </c>
      <c r="F187" s="1070">
        <f t="shared" si="130"/>
        <v>8</v>
      </c>
      <c r="G187" s="1070">
        <f t="shared" si="130"/>
        <v>8</v>
      </c>
      <c r="H187" s="1070">
        <f t="shared" si="130"/>
        <v>8</v>
      </c>
      <c r="I187" s="1070">
        <f t="shared" si="130"/>
        <v>8</v>
      </c>
      <c r="J187" s="1070">
        <f t="shared" si="130"/>
        <v>8</v>
      </c>
      <c r="K187" s="1070">
        <f t="shared" si="130"/>
        <v>8</v>
      </c>
      <c r="L187" s="1070">
        <f t="shared" si="130"/>
        <v>8</v>
      </c>
      <c r="M187" s="1070">
        <f t="shared" si="130"/>
        <v>8</v>
      </c>
      <c r="N187" s="1070">
        <f t="shared" si="130"/>
        <v>8</v>
      </c>
      <c r="O187" s="865">
        <f ca="1">D187*$C187</f>
        <v>6</v>
      </c>
      <c r="P187" s="845"/>
      <c r="R187" s="866">
        <v>1</v>
      </c>
      <c r="S187" s="1066">
        <v>0.75</v>
      </c>
      <c r="T187" s="1066">
        <v>0.75</v>
      </c>
      <c r="U187" s="1066">
        <v>0.75</v>
      </c>
    </row>
    <row r="188" spans="1:21" s="19" customFormat="1">
      <c r="B188" s="845" t="str">
        <f>nmSkill2</f>
        <v>Consultative Skills</v>
      </c>
      <c r="C188" s="1075">
        <f>CHOOSE(xxRound+1,R188,S188,T188,U188)</f>
        <v>1.25</v>
      </c>
      <c r="D188" s="1077">
        <f ca="1">AVERAGE(OFFSET($E188:$N188,0,0,1,xxNumOfTeams))</f>
        <v>5</v>
      </c>
      <c r="E188" s="1070">
        <f t="shared" ref="E188:N188" si="131">obalConsumerSkill2</f>
        <v>5</v>
      </c>
      <c r="F188" s="1070">
        <f t="shared" si="131"/>
        <v>5</v>
      </c>
      <c r="G188" s="1070">
        <f t="shared" si="131"/>
        <v>5</v>
      </c>
      <c r="H188" s="1070">
        <f t="shared" si="131"/>
        <v>5</v>
      </c>
      <c r="I188" s="1070">
        <f t="shared" si="131"/>
        <v>5</v>
      </c>
      <c r="J188" s="1070">
        <f t="shared" si="131"/>
        <v>5</v>
      </c>
      <c r="K188" s="1070">
        <f t="shared" si="131"/>
        <v>5</v>
      </c>
      <c r="L188" s="1070">
        <f t="shared" si="131"/>
        <v>5</v>
      </c>
      <c r="M188" s="1070">
        <f t="shared" si="131"/>
        <v>5</v>
      </c>
      <c r="N188" s="1070">
        <f t="shared" si="131"/>
        <v>5</v>
      </c>
      <c r="O188" s="865">
        <f ca="1">D188*$C188</f>
        <v>6.25</v>
      </c>
      <c r="P188" s="845"/>
      <c r="R188" s="866">
        <v>1</v>
      </c>
      <c r="S188" s="1066">
        <v>1.25</v>
      </c>
      <c r="T188" s="1066">
        <v>1.25</v>
      </c>
      <c r="U188" s="1066">
        <v>1.25</v>
      </c>
    </row>
    <row r="189" spans="1:21">
      <c r="P189"/>
    </row>
    <row r="190" spans="1:21">
      <c r="B190" s="845" t="str">
        <f>nmSkill1</f>
        <v>Technical Expertise</v>
      </c>
      <c r="E190" s="1077">
        <f ca="1">IF(xxRound&lt;2,O187,AVERAGE(OFFSET($E187:$N187,0,0,1,xxNumOfTeams),O187))</f>
        <v>6</v>
      </c>
      <c r="F190" t="s">
        <v>2720</v>
      </c>
      <c r="P190"/>
    </row>
    <row r="191" spans="1:21">
      <c r="B191" s="845" t="str">
        <f>nmSkill2</f>
        <v>Consultative Skills</v>
      </c>
      <c r="E191" s="1077">
        <f ca="1">IF(xxRound&lt;2,O188,AVERAGE(OFFSET($E188:$N188,0,0,1,xxNumOfTeams),O188))</f>
        <v>6.25</v>
      </c>
      <c r="F191" t="s">
        <v>2721</v>
      </c>
      <c r="P191"/>
    </row>
    <row r="193" spans="2:21" s="19" customFormat="1">
      <c r="C193" s="937"/>
      <c r="D193" s="1080"/>
      <c r="P193" s="845"/>
    </row>
    <row r="194" spans="2:21" s="19" customFormat="1">
      <c r="B194" s="845" t="s">
        <v>557</v>
      </c>
      <c r="C194" s="1075">
        <f>CHOOSE(xxRound+1,R194,S194,T194,U194)</f>
        <v>0.75</v>
      </c>
      <c r="D194" s="1077">
        <f ca="1">AVERAGE(OFFSET($E194:$N194,0,0,1,xxNumOfTeams))</f>
        <v>190</v>
      </c>
      <c r="E194" s="1070">
        <f t="shared" ref="E194:N194" si="132">obalConsumerDirectSalesFTEs</f>
        <v>190</v>
      </c>
      <c r="F194" s="1070">
        <f t="shared" si="132"/>
        <v>190</v>
      </c>
      <c r="G194" s="1070">
        <f t="shared" si="132"/>
        <v>190</v>
      </c>
      <c r="H194" s="1070">
        <f t="shared" si="132"/>
        <v>190</v>
      </c>
      <c r="I194" s="1070">
        <f t="shared" si="132"/>
        <v>190</v>
      </c>
      <c r="J194" s="1070">
        <f t="shared" si="132"/>
        <v>190</v>
      </c>
      <c r="K194" s="1070">
        <f t="shared" si="132"/>
        <v>190</v>
      </c>
      <c r="L194" s="1070">
        <f t="shared" si="132"/>
        <v>190</v>
      </c>
      <c r="M194" s="1070">
        <f t="shared" si="132"/>
        <v>190</v>
      </c>
      <c r="N194" s="1070">
        <f t="shared" si="132"/>
        <v>190</v>
      </c>
      <c r="O194" s="865">
        <f ca="1">D194*$C194</f>
        <v>142.5</v>
      </c>
      <c r="P194" s="845"/>
      <c r="R194" s="866">
        <v>1</v>
      </c>
      <c r="S194" s="1066">
        <v>0.75</v>
      </c>
      <c r="T194" s="1066">
        <v>0.75</v>
      </c>
      <c r="U194" s="1066">
        <v>0.75</v>
      </c>
    </row>
    <row r="195" spans="2:21" s="19" customFormat="1">
      <c r="B195" s="845" t="s">
        <v>421</v>
      </c>
      <c r="C195" s="1075">
        <f>CHOOSE(xxRound+1,R195,S195,T195,U195)</f>
        <v>1.25</v>
      </c>
      <c r="D195" s="1077">
        <f ca="1">AVERAGE(OFFSET($E195:$N195,0,0,1,xxNumOfTeams))</f>
        <v>90</v>
      </c>
      <c r="E195" s="1070">
        <f t="shared" ref="E195:N195" si="133">obalConsumerInsideSalesFTEs</f>
        <v>90</v>
      </c>
      <c r="F195" s="1070">
        <f t="shared" si="133"/>
        <v>90</v>
      </c>
      <c r="G195" s="1070">
        <f t="shared" si="133"/>
        <v>90</v>
      </c>
      <c r="H195" s="1070">
        <f t="shared" si="133"/>
        <v>90</v>
      </c>
      <c r="I195" s="1070">
        <f t="shared" si="133"/>
        <v>90</v>
      </c>
      <c r="J195" s="1070">
        <f t="shared" si="133"/>
        <v>90</v>
      </c>
      <c r="K195" s="1070">
        <f t="shared" si="133"/>
        <v>90</v>
      </c>
      <c r="L195" s="1070">
        <f t="shared" si="133"/>
        <v>90</v>
      </c>
      <c r="M195" s="1070">
        <f t="shared" si="133"/>
        <v>90</v>
      </c>
      <c r="N195" s="1070">
        <f t="shared" si="133"/>
        <v>90</v>
      </c>
      <c r="O195" s="865">
        <f ca="1">D195*$C195</f>
        <v>112.5</v>
      </c>
      <c r="P195" s="845"/>
      <c r="R195" s="866">
        <v>1</v>
      </c>
      <c r="S195" s="1066">
        <v>1.25</v>
      </c>
      <c r="T195" s="1066">
        <v>1.25</v>
      </c>
      <c r="U195" s="1066">
        <v>1.25</v>
      </c>
    </row>
    <row r="196" spans="2:21" s="19" customFormat="1">
      <c r="B196" s="845" t="s">
        <v>422</v>
      </c>
      <c r="C196" s="1075">
        <f>CHOOSE(xxRound+1,R196,S196,T196,U196)</f>
        <v>1.1499999999999999</v>
      </c>
      <c r="D196" s="1077">
        <f ca="1">AVERAGE(OFFSET($E196:$N196,0,0,1,xxNumOfTeams))</f>
        <v>110</v>
      </c>
      <c r="E196" s="1070">
        <f t="shared" ref="E196:N196" si="134">obalConsumerServicesFTEs</f>
        <v>110</v>
      </c>
      <c r="F196" s="1070">
        <f t="shared" si="134"/>
        <v>110</v>
      </c>
      <c r="G196" s="1070">
        <f t="shared" si="134"/>
        <v>110</v>
      </c>
      <c r="H196" s="1070">
        <f t="shared" si="134"/>
        <v>110</v>
      </c>
      <c r="I196" s="1070">
        <f t="shared" si="134"/>
        <v>110</v>
      </c>
      <c r="J196" s="1070">
        <f t="shared" si="134"/>
        <v>110</v>
      </c>
      <c r="K196" s="1070">
        <f t="shared" si="134"/>
        <v>110</v>
      </c>
      <c r="L196" s="1070">
        <f t="shared" si="134"/>
        <v>110</v>
      </c>
      <c r="M196" s="1070">
        <f t="shared" si="134"/>
        <v>110</v>
      </c>
      <c r="N196" s="1070">
        <f t="shared" si="134"/>
        <v>110</v>
      </c>
      <c r="O196" s="865">
        <f ca="1">D196*$C196</f>
        <v>126.49999999999999</v>
      </c>
      <c r="P196" s="845"/>
      <c r="R196" s="866">
        <v>1</v>
      </c>
      <c r="S196" s="1066">
        <v>1.1499999999999999</v>
      </c>
      <c r="T196" s="1066">
        <v>1.1499999999999999</v>
      </c>
      <c r="U196" s="1066">
        <v>1.1499999999999999</v>
      </c>
    </row>
    <row r="197" spans="2:21">
      <c r="P197"/>
    </row>
    <row r="198" spans="2:21">
      <c r="B198" s="845" t="s">
        <v>557</v>
      </c>
      <c r="E198" s="1077">
        <f ca="1">IF(xxRound&lt;2,O194,AVERAGE(OFFSET($E194:$N194,0,0,1,xxNumOfTeams),O194))</f>
        <v>142.5</v>
      </c>
      <c r="F198" t="s">
        <v>2722</v>
      </c>
      <c r="P198"/>
    </row>
    <row r="199" spans="2:21">
      <c r="B199" s="845" t="s">
        <v>421</v>
      </c>
      <c r="E199" s="1077">
        <f ca="1">IF(xxRound&lt;2,O195,AVERAGE(OFFSET($E195:$N195,0,0,1,xxNumOfTeams),O195))</f>
        <v>112.5</v>
      </c>
      <c r="F199" t="s">
        <v>2723</v>
      </c>
      <c r="P199"/>
    </row>
    <row r="200" spans="2:21">
      <c r="B200" s="845" t="s">
        <v>422</v>
      </c>
      <c r="E200" s="1077">
        <f ca="1">IF(xxRound&lt;2,O196,AVERAGE(OFFSET($E196:$N196,0,0,1,xxNumOfTeams),O196))</f>
        <v>126.49999999999999</v>
      </c>
      <c r="F200" t="s">
        <v>2724</v>
      </c>
      <c r="P200"/>
    </row>
  </sheetData>
  <pageMargins left="0.7" right="0.7" top="0.75" bottom="0.75" header="0.3" footer="0.3"/>
  <pageSetup orientation="portrait" horizontalDpi="4294967292"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G71"/>
  <sheetViews>
    <sheetView topLeftCell="A65" workbookViewId="0">
      <selection activeCell="H77" sqref="H77"/>
    </sheetView>
  </sheetViews>
  <sheetFormatPr defaultRowHeight="13.8"/>
  <cols>
    <col min="1" max="2" width="2.7265625" customWidth="1"/>
    <col min="3" max="3" width="24.7265625" customWidth="1"/>
    <col min="4" max="7" width="14.7265625" customWidth="1"/>
  </cols>
  <sheetData>
    <row r="1" spans="1:7" s="11" customFormat="1">
      <c r="A1" s="11" t="s">
        <v>161</v>
      </c>
    </row>
    <row r="4" spans="1:7">
      <c r="B4" s="28" t="s">
        <v>104</v>
      </c>
    </row>
    <row r="5" spans="1:7">
      <c r="D5" s="138">
        <v>1000000</v>
      </c>
      <c r="E5" s="29" t="s">
        <v>171</v>
      </c>
    </row>
    <row r="6" spans="1:7">
      <c r="E6" s="29"/>
    </row>
    <row r="7" spans="1:7">
      <c r="E7" s="29"/>
    </row>
    <row r="8" spans="1:7">
      <c r="E8" s="29"/>
    </row>
    <row r="9" spans="1:7">
      <c r="B9" s="28" t="s">
        <v>211</v>
      </c>
      <c r="E9" t="s">
        <v>162</v>
      </c>
      <c r="F9" t="s">
        <v>163</v>
      </c>
      <c r="G9" t="s">
        <v>164</v>
      </c>
    </row>
    <row r="10" spans="1:7">
      <c r="B10" s="28"/>
      <c r="C10" t="s">
        <v>233</v>
      </c>
      <c r="D10" s="13" t="str">
        <f>INDEX(E10:G10,glossary_Language)</f>
        <v>MACH</v>
      </c>
      <c r="E10" s="88" t="s">
        <v>362</v>
      </c>
      <c r="F10" s="88"/>
      <c r="G10" s="88"/>
    </row>
    <row r="11" spans="1:7">
      <c r="B11" s="28"/>
      <c r="C11" t="s">
        <v>234</v>
      </c>
      <c r="D11" s="13" t="str">
        <f>INDEX(E11:G11,glossary_Language)</f>
        <v>Skill-Up</v>
      </c>
      <c r="E11" s="88" t="str">
        <f>IF(xxAudience="UG","Skill-Up","Orient")</f>
        <v>Skill-Up</v>
      </c>
      <c r="F11" s="88"/>
      <c r="G11" s="88"/>
    </row>
    <row r="12" spans="1:7">
      <c r="C12" t="s">
        <v>166</v>
      </c>
      <c r="D12" s="13" t="str">
        <f>INDEX(E12:G12,glossary_Language)</f>
        <v>Team Name</v>
      </c>
      <c r="E12" s="88" t="s">
        <v>39</v>
      </c>
      <c r="F12" s="88"/>
      <c r="G12" s="88"/>
    </row>
    <row r="13" spans="1:7">
      <c r="C13" t="s">
        <v>167</v>
      </c>
      <c r="D13" s="13" t="str">
        <f>INDEX(E13:G13,glossary_Language)</f>
        <v>Team Number</v>
      </c>
      <c r="E13" s="88" t="s">
        <v>87</v>
      </c>
      <c r="F13" s="88"/>
      <c r="G13" s="88"/>
    </row>
    <row r="14" spans="1:7">
      <c r="C14" t="s">
        <v>168</v>
      </c>
      <c r="D14" s="13" t="str">
        <f>INDEX(E14:G14,glossary_Language)</f>
        <v>Round</v>
      </c>
      <c r="E14" s="88" t="s">
        <v>41</v>
      </c>
      <c r="F14" s="88"/>
      <c r="G14" s="88"/>
    </row>
    <row r="16" spans="1:7">
      <c r="C16" t="s">
        <v>209</v>
      </c>
      <c r="D16" s="13" t="str">
        <f>INDEX(E16:G16,glossary_Language)</f>
        <v>Mn</v>
      </c>
      <c r="E16" s="88" t="s">
        <v>210</v>
      </c>
      <c r="F16" s="88"/>
      <c r="G16" s="88"/>
    </row>
    <row r="18" spans="3:7">
      <c r="C18" t="s">
        <v>186</v>
      </c>
      <c r="D18" s="13" t="str">
        <f>INDEX(E18:G18,glossary_Language)</f>
        <v>Productivity &amp; Business</v>
      </c>
      <c r="E18" s="88" t="s">
        <v>363</v>
      </c>
      <c r="F18" s="88"/>
      <c r="G18" s="88"/>
    </row>
    <row r="19" spans="3:7">
      <c r="C19" t="s">
        <v>192</v>
      </c>
      <c r="D19" s="13" t="str">
        <f>INDEX(E19:G19,glossary_Language)</f>
        <v>Productivity &amp; Business Enterprise</v>
      </c>
      <c r="E19" s="88" t="str">
        <f>nmProd1&amp;" "&amp;nmSeg1</f>
        <v>Productivity &amp; Business Enterprise</v>
      </c>
      <c r="F19" s="88"/>
      <c r="G19" s="88"/>
    </row>
    <row r="20" spans="3:7">
      <c r="C20" t="s">
        <v>193</v>
      </c>
      <c r="D20" s="13" t="str">
        <f>INDEX(E20:G20,glossary_Language)</f>
        <v>Productivity &amp; Business SMC</v>
      </c>
      <c r="E20" s="88" t="str">
        <f>nmProd1&amp;" "&amp;nmSeg2</f>
        <v>Productivity &amp; Business SMC</v>
      </c>
      <c r="F20" s="88"/>
      <c r="G20" s="88"/>
    </row>
    <row r="21" spans="3:7">
      <c r="C21" t="s">
        <v>194</v>
      </c>
      <c r="D21" s="13" t="str">
        <f>INDEX(E21:G21,glossary_Language)</f>
        <v>Productivity &amp; Business Consumer</v>
      </c>
      <c r="E21" s="88" t="str">
        <f>nmProd1&amp;" "&amp;nmSeg3</f>
        <v>Productivity &amp; Business Consumer</v>
      </c>
      <c r="F21" s="88"/>
      <c r="G21" s="88"/>
    </row>
    <row r="23" spans="3:7">
      <c r="C23" t="s">
        <v>366</v>
      </c>
      <c r="D23" s="13" t="str">
        <f>INDEX(E23:G23,glossary_Language)</f>
        <v>Intelligent Cloud</v>
      </c>
      <c r="E23" s="88" t="s">
        <v>370</v>
      </c>
      <c r="F23" s="88"/>
      <c r="G23" s="88"/>
    </row>
    <row r="24" spans="3:7">
      <c r="C24" t="s">
        <v>367</v>
      </c>
      <c r="D24" s="13" t="str">
        <f>INDEX(E24:G24,glossary_Language)</f>
        <v>Intelligent Cloud Enterprise</v>
      </c>
      <c r="E24" s="88" t="str">
        <f>nmProd2&amp;" "&amp;nmSeg1</f>
        <v>Intelligent Cloud Enterprise</v>
      </c>
      <c r="F24" s="88"/>
      <c r="G24" s="88"/>
    </row>
    <row r="25" spans="3:7">
      <c r="C25" t="s">
        <v>368</v>
      </c>
      <c r="D25" s="13" t="str">
        <f>INDEX(E25:G25,glossary_Language)</f>
        <v>Intelligent Cloud SMC</v>
      </c>
      <c r="E25" s="88" t="str">
        <f>nmProd2&amp;" "&amp;nmSeg2</f>
        <v>Intelligent Cloud SMC</v>
      </c>
      <c r="F25" s="88"/>
      <c r="G25" s="88"/>
    </row>
    <row r="26" spans="3:7">
      <c r="C26" t="s">
        <v>369</v>
      </c>
      <c r="D26" s="13">
        <f>INDEX(E26:G26,glossary_Language)</f>
        <v>0</v>
      </c>
      <c r="E26" s="88"/>
      <c r="F26" s="88"/>
      <c r="G26" s="88"/>
    </row>
    <row r="28" spans="3:7">
      <c r="C28" t="s">
        <v>371</v>
      </c>
      <c r="D28" s="13" t="str">
        <f>INDEX(E28:G28,glossary_Language)</f>
        <v>Personal Computing</v>
      </c>
      <c r="E28" s="88" t="s">
        <v>375</v>
      </c>
      <c r="F28" s="88"/>
      <c r="G28" s="88"/>
    </row>
    <row r="29" spans="3:7">
      <c r="C29" t="s">
        <v>372</v>
      </c>
      <c r="D29" s="13" t="str">
        <f>INDEX(E29:G29,glossary_Language)</f>
        <v>Personal Computing Enterprise</v>
      </c>
      <c r="E29" s="88" t="str">
        <f>nmProd3&amp;" "&amp;nmSeg1</f>
        <v>Personal Computing Enterprise</v>
      </c>
      <c r="F29" s="88"/>
      <c r="G29" s="88"/>
    </row>
    <row r="30" spans="3:7">
      <c r="C30" t="s">
        <v>373</v>
      </c>
      <c r="D30" s="13" t="str">
        <f>INDEX(E30:G30,glossary_Language)</f>
        <v>Personal Computing SMC</v>
      </c>
      <c r="E30" s="88" t="str">
        <f>nmProd3&amp;" "&amp;nmSeg2</f>
        <v>Personal Computing SMC</v>
      </c>
      <c r="F30" s="88"/>
      <c r="G30" s="88"/>
    </row>
    <row r="31" spans="3:7">
      <c r="C31" t="s">
        <v>374</v>
      </c>
      <c r="D31" s="13" t="str">
        <f>INDEX(E31:G31,glossary_Language)</f>
        <v>Personal Computing Consumer</v>
      </c>
      <c r="E31" s="88" t="str">
        <f>nmProd3&amp;" "&amp;nmSeg3</f>
        <v>Personal Computing Consumer</v>
      </c>
      <c r="F31" s="88"/>
      <c r="G31" s="88"/>
    </row>
    <row r="33" spans="3:7">
      <c r="C33" t="s">
        <v>189</v>
      </c>
      <c r="D33" s="13" t="str">
        <f>INDEX(E33:G33,glossary_Language)</f>
        <v>Forecast</v>
      </c>
      <c r="E33" s="88" t="s">
        <v>190</v>
      </c>
      <c r="F33" s="88"/>
      <c r="G33" s="88"/>
    </row>
    <row r="34" spans="3:7">
      <c r="C34" t="s">
        <v>187</v>
      </c>
      <c r="D34" s="13" t="str">
        <f>INDEX(E34:G34,glossary_Language)</f>
        <v>Price</v>
      </c>
      <c r="E34" s="88" t="s">
        <v>188</v>
      </c>
      <c r="F34" s="88"/>
      <c r="G34" s="88"/>
    </row>
    <row r="35" spans="3:7">
      <c r="C35" t="s">
        <v>196</v>
      </c>
      <c r="D35" s="13" t="str">
        <f>INDEX(E35:G35,glossary_Language)</f>
        <v>Marketing</v>
      </c>
      <c r="E35" s="88" t="s">
        <v>197</v>
      </c>
      <c r="F35" s="88"/>
      <c r="G35" s="88"/>
    </row>
    <row r="37" spans="3:7">
      <c r="C37" t="s">
        <v>169</v>
      </c>
      <c r="D37" s="13" t="str">
        <f>INDEX(E37:G37,glossary_Language)</f>
        <v>Strategic Initiatives</v>
      </c>
      <c r="E37" s="88" t="s">
        <v>160</v>
      </c>
      <c r="F37" s="88"/>
      <c r="G37" s="88"/>
    </row>
    <row r="39" spans="3:7">
      <c r="C39" t="s">
        <v>200</v>
      </c>
      <c r="D39" s="13" t="str">
        <f>INDEX(E39:G39,glossary_Language)</f>
        <v>Revenue</v>
      </c>
      <c r="E39" s="88" t="s">
        <v>117</v>
      </c>
      <c r="F39" s="88"/>
      <c r="G39" s="88"/>
    </row>
    <row r="40" spans="3:7">
      <c r="C40" t="s">
        <v>204</v>
      </c>
      <c r="D40" s="13" t="str">
        <f>INDEX(E40:G40,glossary_Language)</f>
        <v>COGS</v>
      </c>
      <c r="E40" s="88" t="s">
        <v>203</v>
      </c>
      <c r="F40" s="88"/>
      <c r="G40" s="88"/>
    </row>
    <row r="41" spans="3:7">
      <c r="C41" t="s">
        <v>205</v>
      </c>
      <c r="D41" s="13" t="str">
        <f>INDEX(E41:G41,glossary_Language)</f>
        <v>Gross Profit</v>
      </c>
      <c r="E41" s="88" t="s">
        <v>206</v>
      </c>
      <c r="F41" s="88"/>
      <c r="G41" s="88"/>
    </row>
    <row r="42" spans="3:7">
      <c r="C42" t="s">
        <v>207</v>
      </c>
      <c r="D42" s="13" t="str">
        <f>INDEX(E42:G42,glossary_Language)</f>
        <v>Gross Margin</v>
      </c>
      <c r="E42" s="88" t="s">
        <v>208</v>
      </c>
      <c r="F42" s="88"/>
      <c r="G42" s="88"/>
    </row>
    <row r="44" spans="3:7">
      <c r="C44" t="s">
        <v>405</v>
      </c>
      <c r="D44" s="13" t="str">
        <f t="shared" ref="D44:D49" si="0">INDEX(E44:G44,glossary_Language)</f>
        <v>ISV</v>
      </c>
      <c r="E44" s="88" t="s">
        <v>3280</v>
      </c>
      <c r="F44" s="88"/>
      <c r="G44" s="88"/>
    </row>
    <row r="45" spans="3:7">
      <c r="C45" t="s">
        <v>409</v>
      </c>
      <c r="D45" s="13" t="str">
        <f t="shared" si="0"/>
        <v>Systems Integrators</v>
      </c>
      <c r="E45" s="88" t="s">
        <v>3207</v>
      </c>
      <c r="F45" s="88"/>
      <c r="G45" s="88"/>
    </row>
    <row r="46" spans="3:7">
      <c r="C46" t="s">
        <v>408</v>
      </c>
      <c r="D46" s="13" t="str">
        <f t="shared" si="0"/>
        <v>Managed Services</v>
      </c>
      <c r="E46" s="88" t="s">
        <v>2869</v>
      </c>
      <c r="F46" s="88"/>
      <c r="G46" s="88"/>
    </row>
    <row r="47" spans="3:7">
      <c r="C47" t="s">
        <v>407</v>
      </c>
      <c r="D47" s="13" t="str">
        <f t="shared" si="0"/>
        <v>Channels</v>
      </c>
      <c r="E47" s="88" t="s">
        <v>3206</v>
      </c>
      <c r="F47" s="88"/>
      <c r="G47" s="88"/>
    </row>
    <row r="48" spans="3:7">
      <c r="C48" t="s">
        <v>406</v>
      </c>
      <c r="D48" s="13" t="str">
        <f t="shared" si="0"/>
        <v>Retailer</v>
      </c>
      <c r="E48" s="88" t="s">
        <v>410</v>
      </c>
      <c r="F48" s="88"/>
      <c r="G48" s="88"/>
    </row>
    <row r="49" spans="3:7">
      <c r="C49" t="s">
        <v>411</v>
      </c>
      <c r="D49" s="13" t="str">
        <f t="shared" si="0"/>
        <v>Developer</v>
      </c>
      <c r="E49" s="88" t="s">
        <v>238</v>
      </c>
      <c r="F49" s="88"/>
      <c r="G49" s="88"/>
    </row>
    <row r="51" spans="3:7">
      <c r="C51" t="s">
        <v>414</v>
      </c>
      <c r="D51" s="13" t="str">
        <f>INDEX(E51:G51,glossary_Language)</f>
        <v>Enterprise</v>
      </c>
      <c r="E51" s="88" t="s">
        <v>364</v>
      </c>
      <c r="F51" s="88"/>
      <c r="G51" s="88"/>
    </row>
    <row r="52" spans="3:7">
      <c r="C52" t="s">
        <v>415</v>
      </c>
      <c r="D52" s="13" t="str">
        <f>INDEX(E52:G52,glossary_Language)</f>
        <v>SMC</v>
      </c>
      <c r="E52" s="88" t="s">
        <v>3275</v>
      </c>
      <c r="F52" s="88"/>
      <c r="G52" s="88"/>
    </row>
    <row r="53" spans="3:7">
      <c r="C53" t="s">
        <v>416</v>
      </c>
      <c r="D53" s="13" t="str">
        <f>INDEX(E53:G53,glossary_Language)</f>
        <v>Consumer</v>
      </c>
      <c r="E53" s="88" t="s">
        <v>365</v>
      </c>
      <c r="F53" s="88"/>
      <c r="G53" s="88"/>
    </row>
    <row r="55" spans="3:7">
      <c r="C55" t="s">
        <v>461</v>
      </c>
      <c r="D55" s="13" t="str">
        <f>INDEX(E55:G55,glossary_Language)</f>
        <v>Technical Expertise</v>
      </c>
      <c r="E55" s="88" t="s">
        <v>465</v>
      </c>
      <c r="F55" s="88"/>
      <c r="G55" s="88"/>
    </row>
    <row r="56" spans="3:7">
      <c r="C56" t="s">
        <v>462</v>
      </c>
      <c r="D56" s="13" t="str">
        <f>INDEX(E56:G56,glossary_Language)</f>
        <v>Consultative Skills</v>
      </c>
      <c r="E56" s="88" t="s">
        <v>466</v>
      </c>
      <c r="F56" s="88"/>
      <c r="G56" s="88"/>
    </row>
    <row r="57" spans="3:7">
      <c r="C57" t="s">
        <v>463</v>
      </c>
      <c r="D57" s="13" t="str">
        <f>INDEX(E57:G57,glossary_Language)</f>
        <v>Industry Expertise</v>
      </c>
      <c r="E57" s="88" t="s">
        <v>467</v>
      </c>
      <c r="F57" s="88"/>
      <c r="G57" s="88"/>
    </row>
    <row r="58" spans="3:7">
      <c r="C58" t="s">
        <v>464</v>
      </c>
      <c r="D58" s="13" t="str">
        <f>INDEX(E58:G58,glossary_Language)</f>
        <v>Business Acumen</v>
      </c>
      <c r="E58" s="88" t="s">
        <v>468</v>
      </c>
      <c r="F58" s="88"/>
      <c r="G58" s="88"/>
    </row>
    <row r="60" spans="3:7">
      <c r="C60" t="s">
        <v>475</v>
      </c>
      <c r="D60" s="13" t="str">
        <f t="shared" ref="D60:D67" si="1">INDEX(E60:G60,glossary_Language)</f>
        <v>Workspace 365</v>
      </c>
      <c r="E60" s="88" t="s">
        <v>1533</v>
      </c>
      <c r="F60" s="88"/>
      <c r="G60" s="88"/>
    </row>
    <row r="61" spans="3:7">
      <c r="C61" t="s">
        <v>476</v>
      </c>
      <c r="D61" s="13" t="str">
        <f t="shared" si="1"/>
        <v>Dynamo 365</v>
      </c>
      <c r="E61" s="88" t="s">
        <v>1534</v>
      </c>
      <c r="F61" s="88"/>
      <c r="G61" s="88"/>
    </row>
    <row r="62" spans="3:7">
      <c r="C62" t="s">
        <v>477</v>
      </c>
      <c r="D62" s="13" t="str">
        <f t="shared" si="1"/>
        <v>Azul Infrastructure</v>
      </c>
      <c r="E62" s="88" t="s">
        <v>3283</v>
      </c>
      <c r="F62" s="88"/>
      <c r="G62" s="88"/>
    </row>
    <row r="63" spans="3:7">
      <c r="C63" t="s">
        <v>478</v>
      </c>
      <c r="D63" s="13" t="str">
        <f t="shared" si="1"/>
        <v>Azul Data, Applications, and AI</v>
      </c>
      <c r="E63" s="88" t="s">
        <v>3282</v>
      </c>
      <c r="F63" s="88"/>
      <c r="G63" s="88"/>
    </row>
    <row r="64" spans="3:7">
      <c r="C64" t="s">
        <v>481</v>
      </c>
      <c r="D64" s="13" t="str">
        <f t="shared" si="1"/>
        <v>Azul Applications</v>
      </c>
      <c r="E64" s="88" t="s">
        <v>482</v>
      </c>
      <c r="F64" s="88"/>
      <c r="G64" s="88"/>
    </row>
    <row r="65" spans="3:7">
      <c r="C65" t="s">
        <v>479</v>
      </c>
      <c r="D65" s="13" t="str">
        <f t="shared" si="1"/>
        <v>Doors OS</v>
      </c>
      <c r="E65" s="88" t="s">
        <v>483</v>
      </c>
      <c r="F65" s="88"/>
      <c r="G65" s="88"/>
    </row>
    <row r="66" spans="3:7">
      <c r="C66" t="s">
        <v>480</v>
      </c>
      <c r="D66" s="13" t="str">
        <f t="shared" si="1"/>
        <v>Devices</v>
      </c>
      <c r="E66" s="88" t="s">
        <v>484</v>
      </c>
      <c r="F66" s="88"/>
      <c r="G66" s="88"/>
    </row>
    <row r="67" spans="3:7">
      <c r="C67" t="s">
        <v>486</v>
      </c>
      <c r="D67" s="13" t="str">
        <f t="shared" si="1"/>
        <v>Ping</v>
      </c>
      <c r="E67" s="88" t="s">
        <v>485</v>
      </c>
      <c r="F67" s="88"/>
      <c r="G67" s="88"/>
    </row>
    <row r="69" spans="3:7">
      <c r="C69" t="s">
        <v>3259</v>
      </c>
      <c r="D69" s="13" t="str">
        <f>INDEX(E69:G69,glossary_Language)</f>
        <v>Modern Workplace</v>
      </c>
      <c r="E69" s="88" t="s">
        <v>3262</v>
      </c>
      <c r="F69" s="88"/>
      <c r="G69" s="88"/>
    </row>
    <row r="70" spans="3:7">
      <c r="C70" t="s">
        <v>3260</v>
      </c>
      <c r="D70" s="13" t="str">
        <f>INDEX(E70:G70,glossary_Language)</f>
        <v>Business Applications</v>
      </c>
      <c r="E70" s="88" t="s">
        <v>3263</v>
      </c>
      <c r="F70" s="88"/>
      <c r="G70" s="88"/>
    </row>
    <row r="71" spans="3:7">
      <c r="C71" t="s">
        <v>3261</v>
      </c>
      <c r="D71" s="13" t="str">
        <f>INDEX(E71:G71,glossary_Language)</f>
        <v>Applications &amp; Infrastructure/Data &amp; AI</v>
      </c>
      <c r="E71" s="88" t="s">
        <v>3264</v>
      </c>
      <c r="F71" s="88"/>
      <c r="G71" s="88"/>
    </row>
  </sheetData>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1"/>
  </sheetPr>
  <dimension ref="A1:Q51"/>
  <sheetViews>
    <sheetView topLeftCell="A26" workbookViewId="0">
      <selection activeCell="L40" sqref="L40"/>
    </sheetView>
  </sheetViews>
  <sheetFormatPr defaultColWidth="8.81640625" defaultRowHeight="16.2"/>
  <cols>
    <col min="1" max="1" width="7.1796875" style="950" customWidth="1"/>
    <col min="2" max="3" width="13.36328125" style="950" bestFit="1" customWidth="1"/>
    <col min="4" max="16384" width="8.81640625" style="950"/>
  </cols>
  <sheetData>
    <row r="1" spans="1:16" s="1005" customFormat="1" ht="18.75" customHeight="1">
      <c r="A1" s="1009" t="s">
        <v>2776</v>
      </c>
      <c r="C1" s="1008" t="s">
        <v>851</v>
      </c>
      <c r="D1" s="1007">
        <f>xxRound</f>
        <v>1</v>
      </c>
      <c r="E1" s="1006" t="s">
        <v>850</v>
      </c>
    </row>
    <row r="2" spans="1:16" s="1002" customFormat="1" ht="22.5" customHeight="1">
      <c r="B2" s="1004"/>
      <c r="D2" s="1003" t="s">
        <v>2775</v>
      </c>
    </row>
    <row r="3" spans="1:16" s="1000" customFormat="1" ht="13.8">
      <c r="B3" s="1001" t="s">
        <v>356</v>
      </c>
    </row>
    <row r="4" spans="1:16" s="995" customFormat="1" ht="12.75" customHeight="1"/>
    <row r="5" spans="1:16" s="995" customFormat="1" ht="13.8">
      <c r="B5" s="999" t="s">
        <v>383</v>
      </c>
      <c r="G5" s="998" t="s">
        <v>384</v>
      </c>
    </row>
    <row r="6" spans="1:16" s="995" customFormat="1" ht="13.8">
      <c r="B6" s="648"/>
      <c r="C6" s="996" t="s">
        <v>385</v>
      </c>
      <c r="G6" s="997"/>
      <c r="H6" s="996" t="s">
        <v>386</v>
      </c>
    </row>
    <row r="7" spans="1:16" s="995" customFormat="1" ht="13.8">
      <c r="B7" s="119"/>
      <c r="C7" s="645" t="s">
        <v>387</v>
      </c>
    </row>
    <row r="8" spans="1:16" s="644" customFormat="1" ht="13.8"/>
    <row r="9" spans="1:16" s="993" customFormat="1" ht="13.8">
      <c r="A9" s="993" t="s">
        <v>3273</v>
      </c>
      <c r="E9" s="994"/>
      <c r="F9" s="994"/>
      <c r="G9" s="994"/>
      <c r="H9" s="994"/>
      <c r="I9" s="994"/>
      <c r="J9" s="993" t="s">
        <v>2774</v>
      </c>
    </row>
    <row r="10" spans="1:16" s="992" customFormat="1" ht="12" thickBot="1"/>
    <row r="11" spans="1:16" s="771" customFormat="1" ht="14.4" thickBot="1">
      <c r="F11" s="1308" t="s">
        <v>2770</v>
      </c>
      <c r="G11" s="1309"/>
      <c r="H11" s="1309"/>
      <c r="I11" s="1309"/>
      <c r="J11" s="1310"/>
      <c r="L11" s="1308" t="s">
        <v>2769</v>
      </c>
      <c r="M11" s="1309"/>
      <c r="N11" s="1309"/>
      <c r="O11" s="1309"/>
      <c r="P11" s="1310"/>
    </row>
    <row r="12" spans="1:16" s="771" customFormat="1" ht="14.4" thickBot="1">
      <c r="B12" s="990" t="s">
        <v>2773</v>
      </c>
      <c r="C12" s="966"/>
      <c r="D12" s="966"/>
      <c r="E12" s="991"/>
      <c r="F12" s="989">
        <v>1</v>
      </c>
      <c r="G12" s="988">
        <v>1</v>
      </c>
      <c r="H12" s="988">
        <v>1</v>
      </c>
      <c r="I12" s="988">
        <v>1</v>
      </c>
      <c r="J12" s="987">
        <v>1</v>
      </c>
      <c r="L12" s="983" t="s">
        <v>41</v>
      </c>
      <c r="M12" s="966"/>
      <c r="N12" s="966"/>
      <c r="O12" s="966"/>
      <c r="P12" s="982"/>
    </row>
    <row r="13" spans="1:16" s="771" customFormat="1" ht="14.4" thickBot="1">
      <c r="B13" s="986" t="s">
        <v>2772</v>
      </c>
      <c r="C13" s="985" t="s">
        <v>2771</v>
      </c>
      <c r="D13" s="952" t="s">
        <v>2768</v>
      </c>
      <c r="E13" s="984" t="s">
        <v>2767</v>
      </c>
      <c r="F13" s="983">
        <v>0</v>
      </c>
      <c r="G13" s="966">
        <v>1</v>
      </c>
      <c r="H13" s="966">
        <v>2</v>
      </c>
      <c r="I13" s="966">
        <v>3</v>
      </c>
      <c r="J13" s="982">
        <v>4</v>
      </c>
      <c r="L13" s="983">
        <v>0</v>
      </c>
      <c r="M13" s="966">
        <v>1</v>
      </c>
      <c r="N13" s="966">
        <v>2</v>
      </c>
      <c r="O13" s="966">
        <v>3</v>
      </c>
      <c r="P13" s="982">
        <v>4</v>
      </c>
    </row>
    <row r="14" spans="1:16" s="771" customFormat="1" ht="13.8">
      <c r="B14" s="958">
        <v>0</v>
      </c>
      <c r="C14" s="981">
        <f t="shared" ref="C14:C25" si="0">INDEX(F14:J14,LookupRound+1)</f>
        <v>0.9</v>
      </c>
      <c r="D14" s="957"/>
      <c r="E14" s="981"/>
      <c r="F14" s="980">
        <f t="shared" ref="F14:F24" si="1">L14*F$12</f>
        <v>0.9</v>
      </c>
      <c r="G14" s="980">
        <f t="shared" ref="G14:G25" si="2">M14*G$12</f>
        <v>0.9</v>
      </c>
      <c r="H14" s="980">
        <f t="shared" ref="H14:H25" si="3">N14*H$12</f>
        <v>0.9</v>
      </c>
      <c r="I14" s="980">
        <f t="shared" ref="I14:I25" si="4">O14*I$12</f>
        <v>0.9</v>
      </c>
      <c r="J14" s="979">
        <f t="shared" ref="J14:J25" si="5">P14*J$12</f>
        <v>0.9</v>
      </c>
      <c r="L14" s="978">
        <v>0.9</v>
      </c>
      <c r="M14" s="977">
        <v>0.9</v>
      </c>
      <c r="N14" s="977">
        <v>0.9</v>
      </c>
      <c r="O14" s="977">
        <v>0.9</v>
      </c>
      <c r="P14" s="976">
        <v>0.9</v>
      </c>
    </row>
    <row r="15" spans="1:16" s="771" customFormat="1" ht="13.8">
      <c r="B15" s="975">
        <v>5</v>
      </c>
      <c r="C15" s="974">
        <f t="shared" si="0"/>
        <v>0.91</v>
      </c>
      <c r="D15" s="777">
        <f t="shared" ref="D15:D25" si="6">B15-B14</f>
        <v>5</v>
      </c>
      <c r="E15" s="974">
        <f t="shared" ref="E15:E25" si="7">C15-C14</f>
        <v>1.0000000000000009E-2</v>
      </c>
      <c r="F15" s="972">
        <f t="shared" si="1"/>
        <v>0.91</v>
      </c>
      <c r="G15" s="972">
        <f t="shared" si="2"/>
        <v>0.91</v>
      </c>
      <c r="H15" s="972">
        <f t="shared" si="3"/>
        <v>0.91</v>
      </c>
      <c r="I15" s="972">
        <f t="shared" si="4"/>
        <v>0.91</v>
      </c>
      <c r="J15" s="971">
        <f t="shared" si="5"/>
        <v>0.91</v>
      </c>
      <c r="L15" s="970">
        <v>0.91</v>
      </c>
      <c r="M15" s="969">
        <v>0.91</v>
      </c>
      <c r="N15" s="969">
        <v>0.91</v>
      </c>
      <c r="O15" s="969">
        <v>0.91</v>
      </c>
      <c r="P15" s="968">
        <v>0.91</v>
      </c>
    </row>
    <row r="16" spans="1:16" s="771" customFormat="1" ht="13.8">
      <c r="B16" s="975">
        <v>10</v>
      </c>
      <c r="C16" s="974">
        <f t="shared" si="0"/>
        <v>0.92</v>
      </c>
      <c r="D16" s="777">
        <f t="shared" si="6"/>
        <v>5</v>
      </c>
      <c r="E16" s="974">
        <f t="shared" si="7"/>
        <v>1.0000000000000009E-2</v>
      </c>
      <c r="F16" s="972">
        <f t="shared" si="1"/>
        <v>0.92</v>
      </c>
      <c r="G16" s="972">
        <f t="shared" si="2"/>
        <v>0.92</v>
      </c>
      <c r="H16" s="972">
        <f t="shared" si="3"/>
        <v>0.92</v>
      </c>
      <c r="I16" s="972">
        <f t="shared" si="4"/>
        <v>0.92</v>
      </c>
      <c r="J16" s="971">
        <f t="shared" si="5"/>
        <v>0.92</v>
      </c>
      <c r="L16" s="970">
        <v>0.92</v>
      </c>
      <c r="M16" s="969">
        <v>0.92</v>
      </c>
      <c r="N16" s="969">
        <v>0.92</v>
      </c>
      <c r="O16" s="969">
        <v>0.92</v>
      </c>
      <c r="P16" s="968">
        <v>0.92</v>
      </c>
    </row>
    <row r="17" spans="1:17" s="771" customFormat="1" ht="13.8">
      <c r="B17" s="975">
        <v>15</v>
      </c>
      <c r="C17" s="974">
        <f t="shared" si="0"/>
        <v>0.93</v>
      </c>
      <c r="D17" s="777">
        <f t="shared" si="6"/>
        <v>5</v>
      </c>
      <c r="E17" s="974">
        <f t="shared" si="7"/>
        <v>1.0000000000000009E-2</v>
      </c>
      <c r="F17" s="972">
        <f t="shared" si="1"/>
        <v>0.93</v>
      </c>
      <c r="G17" s="972">
        <f t="shared" si="2"/>
        <v>0.93</v>
      </c>
      <c r="H17" s="972">
        <f t="shared" si="3"/>
        <v>0.93</v>
      </c>
      <c r="I17" s="972">
        <f t="shared" si="4"/>
        <v>0.93</v>
      </c>
      <c r="J17" s="971">
        <f t="shared" si="5"/>
        <v>0.93</v>
      </c>
      <c r="L17" s="970">
        <v>0.93</v>
      </c>
      <c r="M17" s="969">
        <v>0.93</v>
      </c>
      <c r="N17" s="969">
        <v>0.93</v>
      </c>
      <c r="O17" s="969">
        <v>0.93</v>
      </c>
      <c r="P17" s="968">
        <v>0.93</v>
      </c>
    </row>
    <row r="18" spans="1:17" s="771" customFormat="1" ht="13.8">
      <c r="B18" s="975">
        <v>20</v>
      </c>
      <c r="C18" s="974">
        <f t="shared" si="0"/>
        <v>0.94</v>
      </c>
      <c r="D18" s="777">
        <f t="shared" si="6"/>
        <v>5</v>
      </c>
      <c r="E18" s="974">
        <f t="shared" si="7"/>
        <v>9.9999999999998979E-3</v>
      </c>
      <c r="F18" s="972">
        <f t="shared" si="1"/>
        <v>0.94</v>
      </c>
      <c r="G18" s="972">
        <f t="shared" si="2"/>
        <v>0.94</v>
      </c>
      <c r="H18" s="972">
        <f t="shared" si="3"/>
        <v>0.94</v>
      </c>
      <c r="I18" s="972">
        <f t="shared" si="4"/>
        <v>0.94</v>
      </c>
      <c r="J18" s="971">
        <f t="shared" si="5"/>
        <v>0.94</v>
      </c>
      <c r="L18" s="970">
        <v>0.94</v>
      </c>
      <c r="M18" s="969">
        <v>0.94</v>
      </c>
      <c r="N18" s="969">
        <v>0.94</v>
      </c>
      <c r="O18" s="969">
        <v>0.94</v>
      </c>
      <c r="P18" s="968">
        <v>0.94</v>
      </c>
    </row>
    <row r="19" spans="1:17" s="771" customFormat="1" ht="13.8">
      <c r="B19" s="975">
        <v>25</v>
      </c>
      <c r="C19" s="974">
        <f t="shared" si="0"/>
        <v>0.95</v>
      </c>
      <c r="D19" s="777">
        <f t="shared" si="6"/>
        <v>5</v>
      </c>
      <c r="E19" s="974">
        <f t="shared" si="7"/>
        <v>1.0000000000000009E-2</v>
      </c>
      <c r="F19" s="972">
        <f t="shared" si="1"/>
        <v>0.95</v>
      </c>
      <c r="G19" s="972">
        <f t="shared" si="2"/>
        <v>0.95</v>
      </c>
      <c r="H19" s="972">
        <f t="shared" si="3"/>
        <v>0.95</v>
      </c>
      <c r="I19" s="972">
        <f t="shared" si="4"/>
        <v>0.95</v>
      </c>
      <c r="J19" s="971">
        <f t="shared" si="5"/>
        <v>0.95</v>
      </c>
      <c r="L19" s="970">
        <v>0.95</v>
      </c>
      <c r="M19" s="969">
        <v>0.95</v>
      </c>
      <c r="N19" s="969">
        <v>0.95</v>
      </c>
      <c r="O19" s="969">
        <v>0.95</v>
      </c>
      <c r="P19" s="968">
        <v>0.95</v>
      </c>
    </row>
    <row r="20" spans="1:17" s="771" customFormat="1" ht="13.8">
      <c r="B20" s="975">
        <v>30</v>
      </c>
      <c r="C20" s="974">
        <f t="shared" si="0"/>
        <v>0.96</v>
      </c>
      <c r="D20" s="777">
        <f t="shared" si="6"/>
        <v>5</v>
      </c>
      <c r="E20" s="974">
        <f t="shared" si="7"/>
        <v>1.0000000000000009E-2</v>
      </c>
      <c r="F20" s="972">
        <f t="shared" si="1"/>
        <v>0.96</v>
      </c>
      <c r="G20" s="972">
        <f t="shared" si="2"/>
        <v>0.96</v>
      </c>
      <c r="H20" s="972">
        <f t="shared" si="3"/>
        <v>0.96</v>
      </c>
      <c r="I20" s="972">
        <f t="shared" si="4"/>
        <v>0.96</v>
      </c>
      <c r="J20" s="971">
        <f t="shared" si="5"/>
        <v>0.96</v>
      </c>
      <c r="L20" s="970">
        <v>0.96</v>
      </c>
      <c r="M20" s="969">
        <v>0.96</v>
      </c>
      <c r="N20" s="969">
        <v>0.96</v>
      </c>
      <c r="O20" s="969">
        <v>0.96</v>
      </c>
      <c r="P20" s="968">
        <v>0.96</v>
      </c>
    </row>
    <row r="21" spans="1:17" s="771" customFormat="1" ht="13.8">
      <c r="B21" s="975">
        <v>35</v>
      </c>
      <c r="C21" s="974">
        <f t="shared" si="0"/>
        <v>0.97</v>
      </c>
      <c r="D21" s="777">
        <f t="shared" si="6"/>
        <v>5</v>
      </c>
      <c r="E21" s="974">
        <f t="shared" si="7"/>
        <v>1.0000000000000009E-2</v>
      </c>
      <c r="F21" s="972">
        <f t="shared" si="1"/>
        <v>0.97</v>
      </c>
      <c r="G21" s="972">
        <f t="shared" si="2"/>
        <v>0.97</v>
      </c>
      <c r="H21" s="972">
        <f t="shared" si="3"/>
        <v>0.97</v>
      </c>
      <c r="I21" s="972">
        <f t="shared" si="4"/>
        <v>0.97</v>
      </c>
      <c r="J21" s="971">
        <f t="shared" si="5"/>
        <v>0.97</v>
      </c>
      <c r="L21" s="970">
        <v>0.97</v>
      </c>
      <c r="M21" s="969">
        <v>0.97</v>
      </c>
      <c r="N21" s="969">
        <v>0.97</v>
      </c>
      <c r="O21" s="969">
        <v>0.97</v>
      </c>
      <c r="P21" s="968">
        <v>0.97</v>
      </c>
    </row>
    <row r="22" spans="1:17" s="771" customFormat="1" ht="13.8">
      <c r="B22" s="975">
        <v>40</v>
      </c>
      <c r="C22" s="974">
        <f t="shared" si="0"/>
        <v>0.98</v>
      </c>
      <c r="D22" s="777">
        <f t="shared" si="6"/>
        <v>5</v>
      </c>
      <c r="E22" s="974">
        <f t="shared" si="7"/>
        <v>1.0000000000000009E-2</v>
      </c>
      <c r="F22" s="972">
        <f t="shared" si="1"/>
        <v>0.98</v>
      </c>
      <c r="G22" s="972">
        <f t="shared" si="2"/>
        <v>0.98</v>
      </c>
      <c r="H22" s="972">
        <f t="shared" si="3"/>
        <v>0.98</v>
      </c>
      <c r="I22" s="972">
        <f t="shared" si="4"/>
        <v>0.98</v>
      </c>
      <c r="J22" s="971">
        <f t="shared" si="5"/>
        <v>0.98</v>
      </c>
      <c r="L22" s="970">
        <v>0.98</v>
      </c>
      <c r="M22" s="969">
        <v>0.98</v>
      </c>
      <c r="N22" s="969">
        <v>0.98</v>
      </c>
      <c r="O22" s="969">
        <v>0.98</v>
      </c>
      <c r="P22" s="968">
        <v>0.98</v>
      </c>
    </row>
    <row r="23" spans="1:17" s="771" customFormat="1" ht="13.8">
      <c r="B23" s="975">
        <v>45</v>
      </c>
      <c r="C23" s="974">
        <f t="shared" si="0"/>
        <v>0.99</v>
      </c>
      <c r="D23" s="777">
        <f t="shared" si="6"/>
        <v>5</v>
      </c>
      <c r="E23" s="974">
        <f t="shared" si="7"/>
        <v>1.0000000000000009E-2</v>
      </c>
      <c r="F23" s="972">
        <f t="shared" si="1"/>
        <v>0.99</v>
      </c>
      <c r="G23" s="972">
        <f t="shared" si="2"/>
        <v>0.99</v>
      </c>
      <c r="H23" s="972">
        <f t="shared" si="3"/>
        <v>0.99</v>
      </c>
      <c r="I23" s="972">
        <f t="shared" si="4"/>
        <v>0.99</v>
      </c>
      <c r="J23" s="971">
        <f t="shared" si="5"/>
        <v>0.99</v>
      </c>
      <c r="L23" s="970">
        <v>0.99</v>
      </c>
      <c r="M23" s="969">
        <v>0.99</v>
      </c>
      <c r="N23" s="969">
        <v>0.99</v>
      </c>
      <c r="O23" s="969">
        <v>0.99</v>
      </c>
      <c r="P23" s="968">
        <v>0.99</v>
      </c>
    </row>
    <row r="24" spans="1:17" s="771" customFormat="1" ht="14.4" thickBot="1">
      <c r="B24" s="975">
        <v>50</v>
      </c>
      <c r="C24" s="973">
        <f t="shared" si="0"/>
        <v>1</v>
      </c>
      <c r="D24" s="952">
        <f t="shared" si="6"/>
        <v>5</v>
      </c>
      <c r="E24" s="973">
        <f t="shared" si="7"/>
        <v>1.0000000000000009E-2</v>
      </c>
      <c r="F24" s="972">
        <f t="shared" si="1"/>
        <v>1</v>
      </c>
      <c r="G24" s="972">
        <f t="shared" si="2"/>
        <v>1</v>
      </c>
      <c r="H24" s="972">
        <f t="shared" si="3"/>
        <v>1</v>
      </c>
      <c r="I24" s="972">
        <f t="shared" si="4"/>
        <v>1</v>
      </c>
      <c r="J24" s="971">
        <f t="shared" si="5"/>
        <v>1</v>
      </c>
      <c r="L24" s="970">
        <v>1</v>
      </c>
      <c r="M24" s="969">
        <v>1</v>
      </c>
      <c r="N24" s="969">
        <v>1</v>
      </c>
      <c r="O24" s="969">
        <v>1</v>
      </c>
      <c r="P24" s="968">
        <v>1</v>
      </c>
    </row>
    <row r="25" spans="1:17" s="771" customFormat="1" ht="14.4" thickBot="1">
      <c r="B25" s="967">
        <v>500</v>
      </c>
      <c r="C25" s="965">
        <f t="shared" si="0"/>
        <v>1</v>
      </c>
      <c r="D25" s="966">
        <f t="shared" si="6"/>
        <v>450</v>
      </c>
      <c r="E25" s="965">
        <f t="shared" si="7"/>
        <v>0</v>
      </c>
      <c r="F25" s="964">
        <f>L25*F$12</f>
        <v>1</v>
      </c>
      <c r="G25" s="963">
        <f t="shared" si="2"/>
        <v>1</v>
      </c>
      <c r="H25" s="963">
        <f t="shared" si="3"/>
        <v>1</v>
      </c>
      <c r="I25" s="963">
        <f t="shared" si="4"/>
        <v>1</v>
      </c>
      <c r="J25" s="962">
        <f t="shared" si="5"/>
        <v>1</v>
      </c>
      <c r="L25" s="961">
        <v>1</v>
      </c>
      <c r="M25" s="960">
        <v>1</v>
      </c>
      <c r="N25" s="960">
        <v>1</v>
      </c>
      <c r="O25" s="960">
        <v>1</v>
      </c>
      <c r="P25" s="959">
        <v>1</v>
      </c>
      <c r="Q25" s="786" t="s">
        <v>2766</v>
      </c>
    </row>
    <row r="26" spans="1:17" s="771" customFormat="1" ht="14.4" thickBot="1"/>
    <row r="27" spans="1:17" s="771" customFormat="1" ht="13.8">
      <c r="C27" s="958" t="s">
        <v>2765</v>
      </c>
      <c r="D27" s="957"/>
      <c r="E27" s="956">
        <f t="shared" ref="E27:N27" si="8">decOpsCollabFTEs</f>
        <v>10</v>
      </c>
      <c r="F27" s="956">
        <f t="shared" si="8"/>
        <v>10</v>
      </c>
      <c r="G27" s="956">
        <f t="shared" si="8"/>
        <v>10</v>
      </c>
      <c r="H27" s="956">
        <f t="shared" si="8"/>
        <v>10</v>
      </c>
      <c r="I27" s="956">
        <f t="shared" si="8"/>
        <v>10</v>
      </c>
      <c r="J27" s="956">
        <f t="shared" si="8"/>
        <v>10</v>
      </c>
      <c r="K27" s="956">
        <f t="shared" si="8"/>
        <v>10</v>
      </c>
      <c r="L27" s="956">
        <f t="shared" si="8"/>
        <v>10</v>
      </c>
      <c r="M27" s="956">
        <f t="shared" si="8"/>
        <v>10</v>
      </c>
      <c r="N27" s="1010">
        <f t="shared" si="8"/>
        <v>10</v>
      </c>
    </row>
    <row r="28" spans="1:17" s="771" customFormat="1" ht="13.8">
      <c r="C28" s="955"/>
      <c r="D28" s="777"/>
      <c r="E28" s="777"/>
      <c r="F28" s="777"/>
      <c r="G28" s="777"/>
      <c r="H28" s="777"/>
      <c r="I28" s="777"/>
      <c r="J28" s="777"/>
      <c r="K28" s="777"/>
      <c r="L28" s="777"/>
      <c r="M28" s="777"/>
      <c r="N28" s="954"/>
    </row>
    <row r="29" spans="1:17" s="771" customFormat="1" ht="14.4" thickBot="1">
      <c r="C29" s="953" t="s">
        <v>2764</v>
      </c>
      <c r="D29" s="952"/>
      <c r="E29" s="951">
        <f t="shared" ref="E29:N29" ca="1" si="9">IFERROR(FORECAST(E27,OFFSET(tableKnownY1,MATCH(E27,tableKnownX1,1)-1,0,2),OFFSET(tableKnownX1,MATCH(E27,tableKnownX1,1)-1,0,2)),$C25)</f>
        <v>0.92</v>
      </c>
      <c r="F29" s="951">
        <f t="shared" ca="1" si="9"/>
        <v>0.92</v>
      </c>
      <c r="G29" s="951">
        <f t="shared" ca="1" si="9"/>
        <v>0.92</v>
      </c>
      <c r="H29" s="951">
        <f t="shared" ca="1" si="9"/>
        <v>0.92</v>
      </c>
      <c r="I29" s="951">
        <f t="shared" ca="1" si="9"/>
        <v>0.92</v>
      </c>
      <c r="J29" s="951">
        <f t="shared" ca="1" si="9"/>
        <v>0.92</v>
      </c>
      <c r="K29" s="951">
        <f t="shared" ca="1" si="9"/>
        <v>0.92</v>
      </c>
      <c r="L29" s="951">
        <f t="shared" ca="1" si="9"/>
        <v>0.92</v>
      </c>
      <c r="M29" s="951">
        <f t="shared" ca="1" si="9"/>
        <v>0.92</v>
      </c>
      <c r="N29" s="1011">
        <f t="shared" ca="1" si="9"/>
        <v>0.92</v>
      </c>
      <c r="O29" s="771" t="s">
        <v>1746</v>
      </c>
    </row>
    <row r="30" spans="1:17" s="771" customFormat="1" ht="13.8"/>
    <row r="31" spans="1:17" s="993" customFormat="1" ht="13.8">
      <c r="A31" s="993" t="s">
        <v>3274</v>
      </c>
      <c r="E31" s="994"/>
      <c r="F31" s="994"/>
      <c r="G31" s="994"/>
      <c r="H31" s="994"/>
      <c r="I31" s="994"/>
      <c r="J31" s="993" t="s">
        <v>2774</v>
      </c>
    </row>
    <row r="32" spans="1:17" s="992" customFormat="1" ht="12" thickBot="1"/>
    <row r="33" spans="2:17" s="771" customFormat="1" ht="14.4" thickBot="1">
      <c r="F33" s="1308" t="s">
        <v>2770</v>
      </c>
      <c r="G33" s="1309"/>
      <c r="H33" s="1309"/>
      <c r="I33" s="1309"/>
      <c r="J33" s="1310"/>
      <c r="L33" s="1308" t="s">
        <v>2769</v>
      </c>
      <c r="M33" s="1309"/>
      <c r="N33" s="1309"/>
      <c r="O33" s="1309"/>
      <c r="P33" s="1310"/>
    </row>
    <row r="34" spans="2:17" s="771" customFormat="1" ht="14.4" thickBot="1">
      <c r="B34" s="990" t="s">
        <v>2773</v>
      </c>
      <c r="C34" s="966"/>
      <c r="D34" s="966"/>
      <c r="E34" s="991"/>
      <c r="F34" s="989">
        <v>1</v>
      </c>
      <c r="G34" s="988">
        <v>1</v>
      </c>
      <c r="H34" s="988">
        <v>1</v>
      </c>
      <c r="I34" s="988">
        <v>1</v>
      </c>
      <c r="J34" s="987">
        <v>1</v>
      </c>
      <c r="L34" s="983" t="s">
        <v>41</v>
      </c>
      <c r="M34" s="966"/>
      <c r="N34" s="966"/>
      <c r="O34" s="966"/>
      <c r="P34" s="982"/>
    </row>
    <row r="35" spans="2:17" s="771" customFormat="1" ht="14.4" thickBot="1">
      <c r="B35" s="986" t="s">
        <v>2772</v>
      </c>
      <c r="C35" s="985" t="s">
        <v>2771</v>
      </c>
      <c r="D35" s="952" t="s">
        <v>2768</v>
      </c>
      <c r="E35" s="984" t="s">
        <v>2767</v>
      </c>
      <c r="F35" s="983">
        <v>0</v>
      </c>
      <c r="G35" s="966">
        <v>1</v>
      </c>
      <c r="H35" s="966">
        <v>2</v>
      </c>
      <c r="I35" s="966">
        <v>3</v>
      </c>
      <c r="J35" s="982">
        <v>4</v>
      </c>
      <c r="L35" s="983">
        <v>0</v>
      </c>
      <c r="M35" s="966">
        <v>1</v>
      </c>
      <c r="N35" s="966">
        <v>2</v>
      </c>
      <c r="O35" s="966">
        <v>3</v>
      </c>
      <c r="P35" s="982">
        <v>4</v>
      </c>
    </row>
    <row r="36" spans="2:17" s="771" customFormat="1" ht="13.8">
      <c r="B36" s="958">
        <v>0</v>
      </c>
      <c r="C36" s="981">
        <f t="shared" ref="C36:C47" si="10">INDEX(F36:J36,LookupRound+1)</f>
        <v>0.9</v>
      </c>
      <c r="D36" s="957"/>
      <c r="E36" s="981"/>
      <c r="F36" s="980">
        <f t="shared" ref="F36:F46" si="11">L36*F$12</f>
        <v>0.9</v>
      </c>
      <c r="G36" s="980">
        <f t="shared" ref="G36:G47" si="12">M36*G$12</f>
        <v>0.9</v>
      </c>
      <c r="H36" s="980">
        <f t="shared" ref="H36:H47" si="13">N36*H$12</f>
        <v>0.9</v>
      </c>
      <c r="I36" s="980">
        <f t="shared" ref="I36:I47" si="14">O36*I$12</f>
        <v>0.9</v>
      </c>
      <c r="J36" s="979">
        <f t="shared" ref="J36:J47" si="15">P36*J$12</f>
        <v>0.9</v>
      </c>
      <c r="L36" s="978">
        <v>0.9</v>
      </c>
      <c r="M36" s="977">
        <v>0.9</v>
      </c>
      <c r="N36" s="977">
        <v>0.9</v>
      </c>
      <c r="O36" s="977">
        <v>0.9</v>
      </c>
      <c r="P36" s="976">
        <v>0.9</v>
      </c>
    </row>
    <row r="37" spans="2:17" s="771" customFormat="1" ht="13.8">
      <c r="B37" s="975">
        <v>10</v>
      </c>
      <c r="C37" s="974">
        <f t="shared" si="10"/>
        <v>0.92</v>
      </c>
      <c r="D37" s="777">
        <f t="shared" ref="D37:D47" si="16">B37-B36</f>
        <v>10</v>
      </c>
      <c r="E37" s="974">
        <f t="shared" ref="E37:E47" si="17">C37-C36</f>
        <v>2.0000000000000018E-2</v>
      </c>
      <c r="F37" s="972">
        <f t="shared" si="11"/>
        <v>0.92</v>
      </c>
      <c r="G37" s="972">
        <f t="shared" si="12"/>
        <v>0.92</v>
      </c>
      <c r="H37" s="972">
        <f t="shared" si="13"/>
        <v>0.92</v>
      </c>
      <c r="I37" s="972">
        <f t="shared" si="14"/>
        <v>0.92</v>
      </c>
      <c r="J37" s="971">
        <f t="shared" si="15"/>
        <v>0.92</v>
      </c>
      <c r="L37" s="970">
        <v>0.92</v>
      </c>
      <c r="M37" s="969">
        <v>0.92</v>
      </c>
      <c r="N37" s="969">
        <v>0.92</v>
      </c>
      <c r="O37" s="969">
        <v>0.92</v>
      </c>
      <c r="P37" s="968">
        <v>0.92</v>
      </c>
    </row>
    <row r="38" spans="2:17" s="771" customFormat="1" ht="13.8">
      <c r="B38" s="975">
        <v>20</v>
      </c>
      <c r="C38" s="974">
        <f t="shared" si="10"/>
        <v>0.94</v>
      </c>
      <c r="D38" s="777">
        <f t="shared" si="16"/>
        <v>10</v>
      </c>
      <c r="E38" s="974">
        <f t="shared" si="17"/>
        <v>1.9999999999999907E-2</v>
      </c>
      <c r="F38" s="972">
        <f t="shared" si="11"/>
        <v>0.94</v>
      </c>
      <c r="G38" s="972">
        <f t="shared" si="12"/>
        <v>0.94</v>
      </c>
      <c r="H38" s="972">
        <f t="shared" si="13"/>
        <v>0.94</v>
      </c>
      <c r="I38" s="972">
        <f t="shared" si="14"/>
        <v>0.94</v>
      </c>
      <c r="J38" s="971">
        <f t="shared" si="15"/>
        <v>0.94</v>
      </c>
      <c r="L38" s="970">
        <v>0.94</v>
      </c>
      <c r="M38" s="969">
        <v>0.94</v>
      </c>
      <c r="N38" s="969">
        <v>0.94</v>
      </c>
      <c r="O38" s="969">
        <v>0.94</v>
      </c>
      <c r="P38" s="968">
        <v>0.94</v>
      </c>
    </row>
    <row r="39" spans="2:17" s="771" customFormat="1" ht="13.8">
      <c r="B39" s="975">
        <v>30</v>
      </c>
      <c r="C39" s="974">
        <f t="shared" si="10"/>
        <v>0.96</v>
      </c>
      <c r="D39" s="777">
        <f t="shared" si="16"/>
        <v>10</v>
      </c>
      <c r="E39" s="974">
        <f t="shared" si="17"/>
        <v>2.0000000000000018E-2</v>
      </c>
      <c r="F39" s="972">
        <f t="shared" si="11"/>
        <v>0.96</v>
      </c>
      <c r="G39" s="972">
        <f t="shared" si="12"/>
        <v>0.96</v>
      </c>
      <c r="H39" s="972">
        <f t="shared" si="13"/>
        <v>0.96</v>
      </c>
      <c r="I39" s="972">
        <f t="shared" si="14"/>
        <v>0.96</v>
      </c>
      <c r="J39" s="971">
        <f t="shared" si="15"/>
        <v>0.96</v>
      </c>
      <c r="L39" s="970">
        <v>0.96</v>
      </c>
      <c r="M39" s="969">
        <v>0.96</v>
      </c>
      <c r="N39" s="969">
        <v>0.96</v>
      </c>
      <c r="O39" s="969">
        <v>0.96</v>
      </c>
      <c r="P39" s="968">
        <v>0.96</v>
      </c>
    </row>
    <row r="40" spans="2:17" s="771" customFormat="1" ht="13.8">
      <c r="B40" s="975">
        <v>40</v>
      </c>
      <c r="C40" s="974">
        <f t="shared" si="10"/>
        <v>0.98</v>
      </c>
      <c r="D40" s="777">
        <f t="shared" si="16"/>
        <v>10</v>
      </c>
      <c r="E40" s="974">
        <f t="shared" si="17"/>
        <v>2.0000000000000018E-2</v>
      </c>
      <c r="F40" s="972">
        <f t="shared" si="11"/>
        <v>0.98</v>
      </c>
      <c r="G40" s="972">
        <f t="shared" si="12"/>
        <v>0.98</v>
      </c>
      <c r="H40" s="972">
        <f t="shared" si="13"/>
        <v>0.98</v>
      </c>
      <c r="I40" s="972">
        <f t="shared" si="14"/>
        <v>0.98</v>
      </c>
      <c r="J40" s="971">
        <f t="shared" si="15"/>
        <v>0.98</v>
      </c>
      <c r="L40" s="970">
        <v>0.98</v>
      </c>
      <c r="M40" s="969">
        <v>0.98</v>
      </c>
      <c r="N40" s="969">
        <v>0.98</v>
      </c>
      <c r="O40" s="969">
        <v>0.98</v>
      </c>
      <c r="P40" s="968">
        <v>0.98</v>
      </c>
    </row>
    <row r="41" spans="2:17" s="771" customFormat="1" ht="13.8">
      <c r="B41" s="975">
        <v>50</v>
      </c>
      <c r="C41" s="974">
        <f t="shared" si="10"/>
        <v>1</v>
      </c>
      <c r="D41" s="777">
        <f t="shared" si="16"/>
        <v>10</v>
      </c>
      <c r="E41" s="974">
        <f t="shared" si="17"/>
        <v>2.0000000000000018E-2</v>
      </c>
      <c r="F41" s="972">
        <f t="shared" si="11"/>
        <v>1</v>
      </c>
      <c r="G41" s="972">
        <f t="shared" si="12"/>
        <v>1</v>
      </c>
      <c r="H41" s="972">
        <f t="shared" si="13"/>
        <v>1</v>
      </c>
      <c r="I41" s="972">
        <f t="shared" si="14"/>
        <v>1</v>
      </c>
      <c r="J41" s="971">
        <f t="shared" si="15"/>
        <v>1</v>
      </c>
      <c r="L41" s="970">
        <v>1</v>
      </c>
      <c r="M41" s="969">
        <v>1</v>
      </c>
      <c r="N41" s="969">
        <v>1</v>
      </c>
      <c r="O41" s="969">
        <v>1</v>
      </c>
      <c r="P41" s="968">
        <v>1</v>
      </c>
    </row>
    <row r="42" spans="2:17" s="771" customFormat="1" ht="13.8">
      <c r="B42" s="975">
        <v>60</v>
      </c>
      <c r="C42" s="974">
        <f t="shared" si="10"/>
        <v>1.02</v>
      </c>
      <c r="D42" s="777">
        <f t="shared" si="16"/>
        <v>10</v>
      </c>
      <c r="E42" s="974">
        <f t="shared" si="17"/>
        <v>2.0000000000000018E-2</v>
      </c>
      <c r="F42" s="972">
        <f t="shared" si="11"/>
        <v>1.02</v>
      </c>
      <c r="G42" s="972">
        <f t="shared" si="12"/>
        <v>1.02</v>
      </c>
      <c r="H42" s="972">
        <f t="shared" si="13"/>
        <v>1.02</v>
      </c>
      <c r="I42" s="972">
        <f t="shared" si="14"/>
        <v>1.02</v>
      </c>
      <c r="J42" s="971">
        <f t="shared" si="15"/>
        <v>1.02</v>
      </c>
      <c r="L42" s="970">
        <v>1.02</v>
      </c>
      <c r="M42" s="969">
        <v>1.02</v>
      </c>
      <c r="N42" s="969">
        <v>1.02</v>
      </c>
      <c r="O42" s="969">
        <v>1.02</v>
      </c>
      <c r="P42" s="968">
        <v>1.02</v>
      </c>
    </row>
    <row r="43" spans="2:17" s="771" customFormat="1" ht="13.8">
      <c r="B43" s="975">
        <v>70</v>
      </c>
      <c r="C43" s="974">
        <f t="shared" si="10"/>
        <v>1.04</v>
      </c>
      <c r="D43" s="777">
        <f t="shared" si="16"/>
        <v>10</v>
      </c>
      <c r="E43" s="974">
        <f t="shared" si="17"/>
        <v>2.0000000000000018E-2</v>
      </c>
      <c r="F43" s="972">
        <f t="shared" si="11"/>
        <v>1.04</v>
      </c>
      <c r="G43" s="972">
        <f t="shared" si="12"/>
        <v>1.04</v>
      </c>
      <c r="H43" s="972">
        <f t="shared" si="13"/>
        <v>1.04</v>
      </c>
      <c r="I43" s="972">
        <f t="shared" si="14"/>
        <v>1.04</v>
      </c>
      <c r="J43" s="971">
        <f t="shared" si="15"/>
        <v>1.04</v>
      </c>
      <c r="L43" s="970">
        <v>1.04</v>
      </c>
      <c r="M43" s="969">
        <v>1.04</v>
      </c>
      <c r="N43" s="969">
        <v>1.04</v>
      </c>
      <c r="O43" s="969">
        <v>1.04</v>
      </c>
      <c r="P43" s="968">
        <v>1.04</v>
      </c>
    </row>
    <row r="44" spans="2:17" s="771" customFormat="1" ht="13.8">
      <c r="B44" s="975">
        <v>80</v>
      </c>
      <c r="C44" s="974">
        <f t="shared" si="10"/>
        <v>1.06</v>
      </c>
      <c r="D44" s="777">
        <f t="shared" si="16"/>
        <v>10</v>
      </c>
      <c r="E44" s="974">
        <f t="shared" si="17"/>
        <v>2.0000000000000018E-2</v>
      </c>
      <c r="F44" s="972">
        <f t="shared" si="11"/>
        <v>1.06</v>
      </c>
      <c r="G44" s="972">
        <f t="shared" si="12"/>
        <v>1.06</v>
      </c>
      <c r="H44" s="972">
        <f t="shared" si="13"/>
        <v>1.06</v>
      </c>
      <c r="I44" s="972">
        <f t="shared" si="14"/>
        <v>1.06</v>
      </c>
      <c r="J44" s="971">
        <f t="shared" si="15"/>
        <v>1.06</v>
      </c>
      <c r="L44" s="970">
        <v>1.06</v>
      </c>
      <c r="M44" s="969">
        <v>1.06</v>
      </c>
      <c r="N44" s="969">
        <v>1.06</v>
      </c>
      <c r="O44" s="969">
        <v>1.06</v>
      </c>
      <c r="P44" s="968">
        <v>1.06</v>
      </c>
    </row>
    <row r="45" spans="2:17" s="771" customFormat="1" ht="13.8">
      <c r="B45" s="975">
        <v>90</v>
      </c>
      <c r="C45" s="974">
        <f t="shared" si="10"/>
        <v>1.08</v>
      </c>
      <c r="D45" s="777">
        <f t="shared" si="16"/>
        <v>10</v>
      </c>
      <c r="E45" s="974">
        <f t="shared" si="17"/>
        <v>2.0000000000000018E-2</v>
      </c>
      <c r="F45" s="972">
        <f t="shared" si="11"/>
        <v>1.08</v>
      </c>
      <c r="G45" s="972">
        <f t="shared" si="12"/>
        <v>1.08</v>
      </c>
      <c r="H45" s="972">
        <f t="shared" si="13"/>
        <v>1.08</v>
      </c>
      <c r="I45" s="972">
        <f t="shared" si="14"/>
        <v>1.08</v>
      </c>
      <c r="J45" s="971">
        <f t="shared" si="15"/>
        <v>1.08</v>
      </c>
      <c r="L45" s="970">
        <v>1.08</v>
      </c>
      <c r="M45" s="969">
        <v>1.08</v>
      </c>
      <c r="N45" s="969">
        <v>1.08</v>
      </c>
      <c r="O45" s="969">
        <v>1.08</v>
      </c>
      <c r="P45" s="968">
        <v>1.08</v>
      </c>
    </row>
    <row r="46" spans="2:17" s="771" customFormat="1" ht="14.4" thickBot="1">
      <c r="B46" s="975">
        <v>100</v>
      </c>
      <c r="C46" s="973">
        <f t="shared" si="10"/>
        <v>1.1000000000000001</v>
      </c>
      <c r="D46" s="952">
        <f t="shared" si="16"/>
        <v>10</v>
      </c>
      <c r="E46" s="973">
        <f t="shared" si="17"/>
        <v>2.0000000000000018E-2</v>
      </c>
      <c r="F46" s="972">
        <f t="shared" si="11"/>
        <v>1.1000000000000001</v>
      </c>
      <c r="G46" s="972">
        <f t="shared" si="12"/>
        <v>1.1000000000000001</v>
      </c>
      <c r="H46" s="972">
        <f t="shared" si="13"/>
        <v>1.1000000000000001</v>
      </c>
      <c r="I46" s="972">
        <f t="shared" si="14"/>
        <v>1.1000000000000001</v>
      </c>
      <c r="J46" s="971">
        <f t="shared" si="15"/>
        <v>1.1000000000000001</v>
      </c>
      <c r="L46" s="970">
        <v>1.1000000000000001</v>
      </c>
      <c r="M46" s="969">
        <v>1.1000000000000001</v>
      </c>
      <c r="N46" s="969">
        <v>1.1000000000000001</v>
      </c>
      <c r="O46" s="969">
        <v>1.1000000000000001</v>
      </c>
      <c r="P46" s="968">
        <v>1.1000000000000001</v>
      </c>
    </row>
    <row r="47" spans="2:17" s="771" customFormat="1" ht="14.4" thickBot="1">
      <c r="B47" s="967">
        <v>500</v>
      </c>
      <c r="C47" s="965">
        <f t="shared" si="10"/>
        <v>1.5</v>
      </c>
      <c r="D47" s="966">
        <f t="shared" si="16"/>
        <v>400</v>
      </c>
      <c r="E47" s="965">
        <f t="shared" si="17"/>
        <v>0.39999999999999991</v>
      </c>
      <c r="F47" s="964">
        <f>L47*F$12</f>
        <v>1.5</v>
      </c>
      <c r="G47" s="963">
        <f t="shared" si="12"/>
        <v>1.5</v>
      </c>
      <c r="H47" s="963">
        <f t="shared" si="13"/>
        <v>1.5</v>
      </c>
      <c r="I47" s="963">
        <f t="shared" si="14"/>
        <v>1.5</v>
      </c>
      <c r="J47" s="962">
        <f t="shared" si="15"/>
        <v>1.5</v>
      </c>
      <c r="L47" s="961">
        <v>1.5</v>
      </c>
      <c r="M47" s="960">
        <v>1.5</v>
      </c>
      <c r="N47" s="960">
        <v>1.5</v>
      </c>
      <c r="O47" s="960">
        <v>1.5</v>
      </c>
      <c r="P47" s="959">
        <v>1.5</v>
      </c>
      <c r="Q47" s="786" t="s">
        <v>2766</v>
      </c>
    </row>
    <row r="48" spans="2:17" s="771" customFormat="1" ht="14.4" thickBot="1"/>
    <row r="49" spans="3:15" s="771" customFormat="1" ht="13.8">
      <c r="C49" s="958" t="s">
        <v>2765</v>
      </c>
      <c r="D49" s="957"/>
      <c r="E49" s="956">
        <f t="shared" ref="E49:N49" si="18">decOpsGlobalDemandCenterFTEs</f>
        <v>40</v>
      </c>
      <c r="F49" s="956">
        <f t="shared" si="18"/>
        <v>40</v>
      </c>
      <c r="G49" s="956">
        <f t="shared" si="18"/>
        <v>40</v>
      </c>
      <c r="H49" s="956">
        <f t="shared" si="18"/>
        <v>40</v>
      </c>
      <c r="I49" s="956">
        <f t="shared" si="18"/>
        <v>40</v>
      </c>
      <c r="J49" s="956">
        <f t="shared" si="18"/>
        <v>40</v>
      </c>
      <c r="K49" s="956">
        <f t="shared" si="18"/>
        <v>40</v>
      </c>
      <c r="L49" s="956">
        <f t="shared" si="18"/>
        <v>40</v>
      </c>
      <c r="M49" s="956">
        <f t="shared" si="18"/>
        <v>40</v>
      </c>
      <c r="N49" s="956">
        <f t="shared" si="18"/>
        <v>40</v>
      </c>
    </row>
    <row r="50" spans="3:15" s="771" customFormat="1" ht="13.8">
      <c r="C50" s="955"/>
      <c r="D50" s="777"/>
      <c r="E50" s="777"/>
      <c r="F50" s="777"/>
      <c r="G50" s="777"/>
      <c r="H50" s="777"/>
      <c r="I50" s="777"/>
      <c r="J50" s="777"/>
      <c r="K50" s="777"/>
      <c r="L50" s="777"/>
      <c r="M50" s="777"/>
      <c r="N50" s="954"/>
    </row>
    <row r="51" spans="3:15" s="771" customFormat="1" ht="14.4" thickBot="1">
      <c r="C51" s="953" t="s">
        <v>2764</v>
      </c>
      <c r="D51" s="952"/>
      <c r="E51" s="951">
        <f t="shared" ref="E51:N51" ca="1" si="19">IFERROR(FORECAST(E49,OFFSET(tableKnownY1,MATCH(E49,tableKnownX1,1)-1,0,2),OFFSET(tableKnownX1,MATCH(E49,tableKnownX1,1)-1,0,2)),$C47)</f>
        <v>0.98</v>
      </c>
      <c r="F51" s="951">
        <f t="shared" ca="1" si="19"/>
        <v>0.98</v>
      </c>
      <c r="G51" s="951">
        <f t="shared" ca="1" si="19"/>
        <v>0.98</v>
      </c>
      <c r="H51" s="951">
        <f t="shared" ca="1" si="19"/>
        <v>0.98</v>
      </c>
      <c r="I51" s="951">
        <f t="shared" ca="1" si="19"/>
        <v>0.98</v>
      </c>
      <c r="J51" s="951">
        <f t="shared" ca="1" si="19"/>
        <v>0.98</v>
      </c>
      <c r="K51" s="951">
        <f t="shared" ca="1" si="19"/>
        <v>0.98</v>
      </c>
      <c r="L51" s="951">
        <f t="shared" ca="1" si="19"/>
        <v>0.98</v>
      </c>
      <c r="M51" s="951">
        <f t="shared" ca="1" si="19"/>
        <v>0.98</v>
      </c>
      <c r="N51" s="1011">
        <f t="shared" ca="1" si="19"/>
        <v>0.98</v>
      </c>
      <c r="O51" s="771" t="s">
        <v>3272</v>
      </c>
    </row>
  </sheetData>
  <mergeCells count="4">
    <mergeCell ref="F11:J11"/>
    <mergeCell ref="L11:P11"/>
    <mergeCell ref="F33:J33"/>
    <mergeCell ref="L33:P33"/>
  </mergeCells>
  <dataValidations count="1">
    <dataValidation type="decimal" allowBlank="1" showInputMessage="1" showErrorMessage="1" errorTitle="Quick Adjust Multiplier" error="Please enter a numeric value." sqref="F12:J12 F34:J34">
      <formula1>-10000</formula1>
      <formula2>10000</formula2>
    </dataValidation>
  </dataValidations>
  <pageMargins left="0.7" right="0.7" top="0.75" bottom="0.75" header="0.3" footer="0.3"/>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1"/>
  </sheetPr>
  <dimension ref="A1:J442"/>
  <sheetViews>
    <sheetView topLeftCell="A202" workbookViewId="0">
      <selection activeCell="H202" sqref="H202:H203"/>
    </sheetView>
  </sheetViews>
  <sheetFormatPr defaultColWidth="8.81640625" defaultRowHeight="13.8"/>
  <cols>
    <col min="1" max="2" width="2.7265625" style="5" customWidth="1"/>
    <col min="3" max="3" width="38.6328125" style="6" customWidth="1"/>
    <col min="4" max="8" width="16.7265625" style="5" customWidth="1"/>
    <col min="9" max="16384" width="8.81640625" style="5"/>
  </cols>
  <sheetData>
    <row r="1" spans="1:6" s="9" customFormat="1">
      <c r="A1" s="8" t="s">
        <v>201</v>
      </c>
      <c r="C1" s="8"/>
    </row>
    <row r="2" spans="1:6" s="413" customFormat="1">
      <c r="A2" s="412" t="s">
        <v>903</v>
      </c>
      <c r="C2" s="412"/>
    </row>
    <row r="4" spans="1:6">
      <c r="B4" s="6" t="s">
        <v>212</v>
      </c>
      <c r="E4" s="135">
        <v>11</v>
      </c>
      <c r="F4" s="6" t="s">
        <v>213</v>
      </c>
    </row>
    <row r="5" spans="1:6">
      <c r="F5" s="6"/>
    </row>
    <row r="6" spans="1:6">
      <c r="B6" s="6" t="str">
        <f>nmProd1&amp;" Price"</f>
        <v>Productivity &amp; Business Price</v>
      </c>
      <c r="D6" s="6"/>
      <c r="E6" s="1090">
        <v>15</v>
      </c>
      <c r="F6" s="6" t="s">
        <v>202</v>
      </c>
    </row>
    <row r="7" spans="1:6">
      <c r="B7" s="6" t="str">
        <f>nmProd2&amp;" Price"</f>
        <v>Intelligent Cloud Price</v>
      </c>
      <c r="D7" s="6"/>
      <c r="E7" s="1090">
        <v>50</v>
      </c>
      <c r="F7" s="6" t="s">
        <v>901</v>
      </c>
    </row>
    <row r="8" spans="1:6">
      <c r="B8" s="6" t="str">
        <f>nmProd3&amp;" Price"</f>
        <v>Personal Computing Price</v>
      </c>
      <c r="D8" s="6"/>
      <c r="E8" s="1090">
        <v>320</v>
      </c>
      <c r="F8" s="6" t="s">
        <v>902</v>
      </c>
    </row>
    <row r="9" spans="1:6">
      <c r="B9" s="6" t="s">
        <v>1581</v>
      </c>
      <c r="D9" s="6"/>
      <c r="E9" s="1090"/>
      <c r="F9" s="6" t="s">
        <v>1582</v>
      </c>
    </row>
    <row r="10" spans="1:6">
      <c r="F10" s="6"/>
    </row>
    <row r="11" spans="1:6">
      <c r="B11" s="6" t="s">
        <v>903</v>
      </c>
      <c r="E11" s="487">
        <v>950000000</v>
      </c>
      <c r="F11" s="6"/>
    </row>
    <row r="12" spans="1:6">
      <c r="C12" s="6" t="str">
        <f>nmProd1</f>
        <v>Productivity &amp; Business</v>
      </c>
      <c r="D12" s="139">
        <v>0.33</v>
      </c>
      <c r="E12" s="521">
        <f>$E$11*D12</f>
        <v>313500000</v>
      </c>
      <c r="F12" s="6" t="s">
        <v>904</v>
      </c>
    </row>
    <row r="13" spans="1:6">
      <c r="C13" s="6" t="str">
        <f>nmProd2</f>
        <v>Intelligent Cloud</v>
      </c>
      <c r="D13" s="139">
        <v>0.26</v>
      </c>
      <c r="E13" s="521">
        <f>$E$11*D13</f>
        <v>247000000</v>
      </c>
      <c r="F13" s="6" t="s">
        <v>905</v>
      </c>
    </row>
    <row r="14" spans="1:6">
      <c r="C14" s="6" t="str">
        <f>nmProd3</f>
        <v>Personal Computing</v>
      </c>
      <c r="D14" s="139">
        <v>0.41</v>
      </c>
      <c r="E14" s="521">
        <f>$E$11*D14</f>
        <v>389500000</v>
      </c>
      <c r="F14" s="6" t="s">
        <v>906</v>
      </c>
    </row>
    <row r="15" spans="1:6">
      <c r="D15" s="411"/>
      <c r="F15" s="6"/>
    </row>
    <row r="16" spans="1:6" s="413" customFormat="1">
      <c r="A16" s="412" t="str">
        <f>nmProd1</f>
        <v>Productivity &amp; Business</v>
      </c>
      <c r="C16" s="412"/>
      <c r="F16" s="412"/>
    </row>
    <row r="17" spans="2:9">
      <c r="F17" s="6"/>
    </row>
    <row r="18" spans="2:9">
      <c r="E18" s="34" t="s">
        <v>177</v>
      </c>
      <c r="F18" s="34" t="s">
        <v>178</v>
      </c>
      <c r="G18" s="34" t="s">
        <v>179</v>
      </c>
      <c r="H18" s="34" t="s">
        <v>180</v>
      </c>
    </row>
    <row r="19" spans="2:9">
      <c r="B19" s="6" t="s">
        <v>903</v>
      </c>
      <c r="E19" s="521">
        <f>dataProd1Revenue</f>
        <v>313500000</v>
      </c>
      <c r="F19" s="521">
        <f>E19*(1+F20)</f>
        <v>338580000</v>
      </c>
      <c r="G19" s="521">
        <f>F19*(1+G20)</f>
        <v>372438000.00000006</v>
      </c>
      <c r="H19" s="521">
        <f>G19*(1+H20)</f>
        <v>417130560.00000012</v>
      </c>
      <c r="I19" s="6" t="s">
        <v>2147</v>
      </c>
    </row>
    <row r="20" spans="2:9">
      <c r="B20" s="6"/>
      <c r="C20" s="282" t="s">
        <v>907</v>
      </c>
      <c r="E20" s="414"/>
      <c r="F20" s="139">
        <v>0.08</v>
      </c>
      <c r="G20" s="139">
        <v>0.1</v>
      </c>
      <c r="H20" s="139">
        <v>0.12</v>
      </c>
      <c r="I20" s="6"/>
    </row>
    <row r="22" spans="2:9">
      <c r="B22" s="6" t="s">
        <v>2171</v>
      </c>
    </row>
    <row r="23" spans="2:9">
      <c r="C23" s="6" t="s">
        <v>418</v>
      </c>
      <c r="E23" s="139">
        <v>0.62</v>
      </c>
      <c r="F23" s="139">
        <v>0.62</v>
      </c>
      <c r="G23" s="139">
        <v>0.62</v>
      </c>
      <c r="H23" s="139">
        <v>0.62</v>
      </c>
      <c r="I23" s="6" t="s">
        <v>2151</v>
      </c>
    </row>
    <row r="24" spans="2:9">
      <c r="C24" s="6" t="s">
        <v>1647</v>
      </c>
      <c r="E24" s="139">
        <v>0.33</v>
      </c>
      <c r="F24" s="139">
        <v>0.33</v>
      </c>
      <c r="G24" s="139">
        <v>0.33</v>
      </c>
      <c r="H24" s="139">
        <v>0.33</v>
      </c>
      <c r="I24" s="6" t="s">
        <v>2152</v>
      </c>
    </row>
    <row r="25" spans="2:9">
      <c r="C25" s="6" t="s">
        <v>459</v>
      </c>
      <c r="E25" s="139">
        <v>0.05</v>
      </c>
      <c r="F25" s="139">
        <v>0.05</v>
      </c>
      <c r="G25" s="139">
        <v>0.05</v>
      </c>
      <c r="H25" s="139">
        <v>0.05</v>
      </c>
      <c r="I25" s="6" t="s">
        <v>2153</v>
      </c>
    </row>
    <row r="26" spans="2:9">
      <c r="E26" s="411"/>
    </row>
    <row r="27" spans="2:9">
      <c r="B27" s="6" t="s">
        <v>2171</v>
      </c>
    </row>
    <row r="28" spans="2:9">
      <c r="C28" s="6" t="s">
        <v>418</v>
      </c>
      <c r="E28" s="521">
        <f>dataProd1TotalRev*dataProd1CloudPct</f>
        <v>194370000</v>
      </c>
      <c r="F28" s="521">
        <f>dataProd1TotalRev*dataProd1CloudPct</f>
        <v>209919600</v>
      </c>
      <c r="G28" s="521">
        <f>dataProd1TotalRev*dataProd1CloudPct</f>
        <v>230911560.00000003</v>
      </c>
      <c r="H28" s="521">
        <f>dataProd1TotalRev*dataProd1CloudPct</f>
        <v>258620947.20000008</v>
      </c>
      <c r="I28" s="6" t="s">
        <v>2185</v>
      </c>
    </row>
    <row r="29" spans="2:9">
      <c r="C29" s="6" t="s">
        <v>1647</v>
      </c>
      <c r="E29" s="521">
        <f>dataProd1TotalRev*dataProd1NonCloudPct</f>
        <v>103455000</v>
      </c>
      <c r="F29" s="521">
        <f>dataProd1TotalRev*dataProd1NonCloudPct</f>
        <v>111731400</v>
      </c>
      <c r="G29" s="521">
        <f>dataProd1TotalRev*dataProd1NonCloudPct</f>
        <v>122904540.00000003</v>
      </c>
      <c r="H29" s="521">
        <f>dataProd1TotalRev*dataProd1NonCloudPct</f>
        <v>137653084.80000004</v>
      </c>
      <c r="I29" s="6" t="s">
        <v>2186</v>
      </c>
    </row>
    <row r="30" spans="2:9">
      <c r="C30" s="6" t="s">
        <v>459</v>
      </c>
      <c r="E30" s="521">
        <f>dataProd1TotalRev*dataProd1ServicesPct</f>
        <v>15675000</v>
      </c>
      <c r="F30" s="521">
        <f>dataProd1TotalRev*dataProd1ServicesPct</f>
        <v>16929000</v>
      </c>
      <c r="G30" s="521">
        <f>dataProd1TotalRev*dataProd1ServicesPct</f>
        <v>18621900.000000004</v>
      </c>
      <c r="H30" s="521">
        <f>dataProd1TotalRev*dataProd1ServicesPct</f>
        <v>20856528.000000007</v>
      </c>
      <c r="I30" s="6" t="s">
        <v>2187</v>
      </c>
    </row>
    <row r="31" spans="2:9">
      <c r="E31" s="411"/>
    </row>
    <row r="32" spans="2:9">
      <c r="B32" s="6"/>
      <c r="C32" s="6" t="str">
        <f>nmSeg1&amp;" %"</f>
        <v>Enterprise %</v>
      </c>
      <c r="E32" s="139">
        <v>0.4</v>
      </c>
      <c r="F32" s="139">
        <v>0.4</v>
      </c>
      <c r="G32" s="139">
        <v>0.4</v>
      </c>
      <c r="H32" s="139">
        <v>0.4</v>
      </c>
      <c r="I32" s="6" t="s">
        <v>2148</v>
      </c>
    </row>
    <row r="33" spans="2:9">
      <c r="B33" s="6"/>
      <c r="C33" s="6" t="str">
        <f>nmSeg2&amp;" %"</f>
        <v>SMC %</v>
      </c>
      <c r="E33" s="139">
        <v>0.25</v>
      </c>
      <c r="F33" s="139">
        <v>0.25</v>
      </c>
      <c r="G33" s="139">
        <v>0.25</v>
      </c>
      <c r="H33" s="139">
        <v>0.25</v>
      </c>
      <c r="I33" s="6" t="s">
        <v>2149</v>
      </c>
    </row>
    <row r="34" spans="2:9">
      <c r="B34" s="6"/>
      <c r="C34" s="6" t="str">
        <f>nmSeg3&amp;" %"</f>
        <v>Consumer %</v>
      </c>
      <c r="E34" s="139">
        <v>0.35</v>
      </c>
      <c r="F34" s="139">
        <v>0.35</v>
      </c>
      <c r="G34" s="139">
        <v>0.35</v>
      </c>
      <c r="H34" s="139">
        <v>0.35</v>
      </c>
      <c r="I34" s="6" t="s">
        <v>2150</v>
      </c>
    </row>
    <row r="35" spans="2:9">
      <c r="E35" s="411"/>
    </row>
    <row r="36" spans="2:9">
      <c r="B36" s="6"/>
      <c r="C36" s="6" t="str">
        <f>nmSeg1&amp;" %"</f>
        <v>Enterprise %</v>
      </c>
      <c r="E36" s="139">
        <v>0.25</v>
      </c>
      <c r="F36" s="139">
        <v>0.25</v>
      </c>
      <c r="G36" s="139">
        <v>0.25</v>
      </c>
      <c r="H36" s="139">
        <v>0.25</v>
      </c>
      <c r="I36" s="6" t="s">
        <v>2918</v>
      </c>
    </row>
    <row r="37" spans="2:9">
      <c r="B37" s="6"/>
      <c r="C37" s="6" t="str">
        <f>nmSeg2&amp;" %"</f>
        <v>SMC %</v>
      </c>
      <c r="E37" s="139">
        <v>0.75</v>
      </c>
      <c r="F37" s="139">
        <v>0.75</v>
      </c>
      <c r="G37" s="139">
        <v>0.75</v>
      </c>
      <c r="H37" s="139">
        <v>0.75</v>
      </c>
      <c r="I37" s="6" t="s">
        <v>2919</v>
      </c>
    </row>
    <row r="39" spans="2:9">
      <c r="B39" s="6" t="s">
        <v>2188</v>
      </c>
    </row>
    <row r="40" spans="2:9">
      <c r="C40" s="6" t="str">
        <f>nmSeg1&amp;" %"</f>
        <v>Enterprise %</v>
      </c>
      <c r="E40" s="521">
        <f>dataProd1TotalRev*dataProd1Seg1Pct</f>
        <v>125400000</v>
      </c>
      <c r="F40" s="521">
        <f>dataProd1TotalRev*dataProd1Seg1Pct</f>
        <v>135432000</v>
      </c>
      <c r="G40" s="521">
        <f>dataProd1TotalRev*dataProd1Seg1Pct</f>
        <v>148975200.00000003</v>
      </c>
      <c r="H40" s="521">
        <f>dataProd1TotalRev*dataProd1Seg1Pct</f>
        <v>166852224.00000006</v>
      </c>
      <c r="I40" s="6" t="s">
        <v>2189</v>
      </c>
    </row>
    <row r="41" spans="2:9">
      <c r="C41" s="6" t="str">
        <f>nmSeg2&amp;" %"</f>
        <v>SMC %</v>
      </c>
      <c r="E41" s="521">
        <f>dataProd1TotalRev*dataProd1Seg2Pct</f>
        <v>78375000</v>
      </c>
      <c r="F41" s="521">
        <f>dataProd1TotalRev*dataProd1Seg2Pct</f>
        <v>84645000</v>
      </c>
      <c r="G41" s="521">
        <f>dataProd1TotalRev*dataProd1Seg2Pct</f>
        <v>93109500.000000015</v>
      </c>
      <c r="H41" s="521">
        <f>dataProd1TotalRev*dataProd1Seg2Pct</f>
        <v>104282640.00000003</v>
      </c>
      <c r="I41" s="6" t="s">
        <v>2190</v>
      </c>
    </row>
    <row r="42" spans="2:9">
      <c r="C42" s="6" t="str">
        <f>nmSeg3&amp;" %"</f>
        <v>Consumer %</v>
      </c>
      <c r="E42" s="521">
        <f>dataProd1TotalRev*dataProd1Seg3Pct</f>
        <v>109725000</v>
      </c>
      <c r="F42" s="521">
        <f>dataProd1TotalRev*dataProd1Seg3Pct</f>
        <v>118502999.99999999</v>
      </c>
      <c r="G42" s="521">
        <f>dataProd1TotalRev*dataProd1Seg3Pct</f>
        <v>130353300.00000001</v>
      </c>
      <c r="H42" s="521">
        <f>dataProd1TotalRev*dataProd1Seg3Pct</f>
        <v>145995696.00000003</v>
      </c>
      <c r="I42" s="6" t="s">
        <v>2191</v>
      </c>
    </row>
    <row r="43" spans="2:9">
      <c r="E43" s="411">
        <f>SUM(E32:E34)</f>
        <v>1</v>
      </c>
      <c r="F43" s="411">
        <f>SUM(F32:F34)</f>
        <v>1</v>
      </c>
      <c r="G43" s="411">
        <f>SUM(G32:G34)</f>
        <v>1</v>
      </c>
      <c r="H43" s="411">
        <f>SUM(H32:H34)</f>
        <v>1</v>
      </c>
    </row>
    <row r="44" spans="2:9">
      <c r="E44" s="411"/>
      <c r="F44" s="411"/>
      <c r="G44" s="411"/>
      <c r="H44" s="411"/>
    </row>
    <row r="45" spans="2:9">
      <c r="B45" s="48" t="s">
        <v>1756</v>
      </c>
      <c r="E45" s="411"/>
      <c r="F45" s="411"/>
      <c r="G45" s="411"/>
      <c r="H45" s="411"/>
    </row>
    <row r="46" spans="2:9">
      <c r="B46" s="6" t="str">
        <f>nmSeg1&amp;" Revenue"</f>
        <v>Enterprise Revenue</v>
      </c>
      <c r="E46" s="521">
        <f>dataProd1TotalRev*dataProd1CloudPct*dataProd1Seg1Pct</f>
        <v>77748000</v>
      </c>
      <c r="F46" s="521">
        <f>dataProd1TotalRev*dataProd1CloudPct*dataProd1Seg1Pct</f>
        <v>83967840</v>
      </c>
      <c r="G46" s="521">
        <f>dataProd1TotalRev*dataProd1CloudPct*dataProd1Seg1Pct</f>
        <v>92364624.000000015</v>
      </c>
      <c r="H46" s="521">
        <f>dataProd1TotalRev*dataProd1CloudPct*dataProd1Seg1Pct</f>
        <v>103448378.88000004</v>
      </c>
      <c r="I46" s="6" t="s">
        <v>2154</v>
      </c>
    </row>
    <row r="47" spans="2:9">
      <c r="B47" s="6"/>
      <c r="C47" s="282" t="s">
        <v>907</v>
      </c>
      <c r="F47" s="1089">
        <f>(F46-E46)/E46</f>
        <v>0.08</v>
      </c>
      <c r="G47" s="1089">
        <f>(G46-F46)/F46</f>
        <v>0.10000000000000017</v>
      </c>
      <c r="H47" s="1089">
        <f>(H46-G46)/G46</f>
        <v>0.12000000000000025</v>
      </c>
      <c r="I47" s="6" t="s">
        <v>2155</v>
      </c>
    </row>
    <row r="48" spans="2:9">
      <c r="B48" s="6" t="str">
        <f>nmSeg2&amp;" Revenue"</f>
        <v>SMC Revenue</v>
      </c>
      <c r="E48" s="521">
        <f>dataProd1TotalRev*dataProd1CloudPct*dataProd1Seg2Pct</f>
        <v>48592500</v>
      </c>
      <c r="F48" s="521">
        <f>dataProd1TotalRev*dataProd1CloudPct*dataProd1Seg2Pct</f>
        <v>52479900</v>
      </c>
      <c r="G48" s="521">
        <f>dataProd1TotalRev*dataProd1CloudPct*dataProd1Seg2Pct</f>
        <v>57727890.000000007</v>
      </c>
      <c r="H48" s="521">
        <f>dataProd1TotalRev*dataProd1CloudPct*dataProd1Seg2Pct</f>
        <v>64655236.800000019</v>
      </c>
      <c r="I48" s="6" t="s">
        <v>2156</v>
      </c>
    </row>
    <row r="49" spans="2:9">
      <c r="B49" s="6"/>
      <c r="C49" s="282" t="s">
        <v>907</v>
      </c>
      <c r="F49" s="1089">
        <f>(F48-E48)/E48</f>
        <v>0.08</v>
      </c>
      <c r="G49" s="1089">
        <f>(G48-F48)/F48</f>
        <v>0.10000000000000014</v>
      </c>
      <c r="H49" s="1089">
        <f>(H48-G48)/G48</f>
        <v>0.12000000000000019</v>
      </c>
      <c r="I49" s="6" t="s">
        <v>2157</v>
      </c>
    </row>
    <row r="50" spans="2:9">
      <c r="B50" s="6" t="str">
        <f>nmSeg3&amp;" Revenue"</f>
        <v>Consumer Revenue</v>
      </c>
      <c r="E50" s="521">
        <f>dataProd1TotalRev*dataProd1Seg3Pct</f>
        <v>109725000</v>
      </c>
      <c r="F50" s="521">
        <f>dataProd1TotalRev*dataProd1Seg3Pct</f>
        <v>118502999.99999999</v>
      </c>
      <c r="G50" s="521">
        <f>dataProd1TotalRev*dataProd1Seg3Pct</f>
        <v>130353300.00000001</v>
      </c>
      <c r="H50" s="521">
        <f>dataProd1TotalRev*dataProd1Seg3Pct</f>
        <v>145995696.00000003</v>
      </c>
      <c r="I50" s="6" t="s">
        <v>2158</v>
      </c>
    </row>
    <row r="51" spans="2:9">
      <c r="B51" s="6"/>
      <c r="C51" s="282" t="s">
        <v>907</v>
      </c>
      <c r="F51" s="1089">
        <f>(F50-E50)/E50</f>
        <v>7.9999999999999863E-2</v>
      </c>
      <c r="G51" s="1089">
        <f>(G50-F50)/F50</f>
        <v>0.10000000000000027</v>
      </c>
      <c r="H51" s="1089">
        <f>(H50-G50)/G50</f>
        <v>0.12000000000000011</v>
      </c>
      <c r="I51" s="6" t="s">
        <v>2159</v>
      </c>
    </row>
    <row r="52" spans="2:9">
      <c r="E52" s="411"/>
      <c r="F52" s="411"/>
      <c r="G52" s="411"/>
      <c r="H52" s="411"/>
    </row>
    <row r="53" spans="2:9">
      <c r="B53" s="48" t="s">
        <v>2160</v>
      </c>
      <c r="E53" s="411"/>
      <c r="F53" s="411"/>
      <c r="G53" s="411"/>
      <c r="H53" s="411"/>
    </row>
    <row r="54" spans="2:9">
      <c r="B54" s="6" t="str">
        <f>nmSeg1&amp;" Revenue"</f>
        <v>Enterprise Revenue</v>
      </c>
      <c r="E54" s="521">
        <f>dataProd1TotalRev*dataProd1NonCloudPct*dataProd1Seg1Pct</f>
        <v>41382000</v>
      </c>
      <c r="F54" s="521">
        <f>dataProd1TotalRev*dataProd1NonCloudPct*dataProd1Seg1Pct</f>
        <v>44692560</v>
      </c>
      <c r="G54" s="521">
        <f>dataProd1TotalRev*dataProd1NonCloudPct*dataProd1Seg1Pct</f>
        <v>49161816.000000015</v>
      </c>
      <c r="H54" s="521">
        <f>dataProd1TotalRev*dataProd1NonCloudPct*dataProd1Seg1Pct</f>
        <v>55061233.920000017</v>
      </c>
      <c r="I54" s="6" t="s">
        <v>2161</v>
      </c>
    </row>
    <row r="55" spans="2:9">
      <c r="B55" s="6"/>
      <c r="C55" s="282" t="s">
        <v>907</v>
      </c>
      <c r="F55" s="1089">
        <f>(F54-E54)/E54</f>
        <v>0.08</v>
      </c>
      <c r="G55" s="1089">
        <f>(G54-F54)/F54</f>
        <v>0.10000000000000034</v>
      </c>
      <c r="H55" s="1089">
        <f>(H54-G54)/G54</f>
        <v>0.12</v>
      </c>
      <c r="I55" s="6" t="s">
        <v>2162</v>
      </c>
    </row>
    <row r="56" spans="2:9">
      <c r="B56" s="6" t="str">
        <f>nmSeg2&amp;" Revenue"</f>
        <v>SMC Revenue</v>
      </c>
      <c r="E56" s="521">
        <f>dataProd1TotalRev*dataProd1NonCloudPct*dataProd1Seg2Pct</f>
        <v>25863750</v>
      </c>
      <c r="F56" s="521">
        <f>dataProd1TotalRev*dataProd1NonCloudPct*dataProd1Seg2Pct</f>
        <v>27932850</v>
      </c>
      <c r="G56" s="521">
        <f>dataProd1TotalRev*dataProd1NonCloudPct*dataProd1Seg2Pct</f>
        <v>30726135.000000007</v>
      </c>
      <c r="H56" s="521">
        <f>dataProd1TotalRev*dataProd1NonCloudPct*dataProd1Seg2Pct</f>
        <v>34413271.20000001</v>
      </c>
      <c r="I56" s="6" t="s">
        <v>2163</v>
      </c>
    </row>
    <row r="57" spans="2:9">
      <c r="B57" s="6"/>
      <c r="C57" s="282" t="s">
        <v>907</v>
      </c>
      <c r="E57" s="501"/>
      <c r="F57" s="1089">
        <f>(F56-E56)/E56</f>
        <v>0.08</v>
      </c>
      <c r="G57" s="1089">
        <f>(G56-F56)/F56</f>
        <v>0.10000000000000027</v>
      </c>
      <c r="H57" s="1089">
        <f>(H56-G56)/G56</f>
        <v>0.12000000000000006</v>
      </c>
      <c r="I57" s="6" t="s">
        <v>2164</v>
      </c>
    </row>
    <row r="58" spans="2:9">
      <c r="B58" s="6" t="str">
        <f>nmSeg3&amp;" Revenue"</f>
        <v>Consumer Revenue</v>
      </c>
      <c r="E58" s="521">
        <v>0</v>
      </c>
      <c r="F58" s="521">
        <v>0</v>
      </c>
      <c r="G58" s="521">
        <v>0</v>
      </c>
      <c r="H58" s="521">
        <v>0</v>
      </c>
      <c r="I58" s="6" t="s">
        <v>2165</v>
      </c>
    </row>
    <row r="59" spans="2:9">
      <c r="B59" s="6"/>
      <c r="C59" s="282" t="s">
        <v>907</v>
      </c>
      <c r="F59" s="1089">
        <v>0</v>
      </c>
      <c r="G59" s="1089">
        <v>0</v>
      </c>
      <c r="H59" s="1089">
        <v>0</v>
      </c>
      <c r="I59" s="6" t="s">
        <v>2166</v>
      </c>
    </row>
    <row r="60" spans="2:9">
      <c r="E60" s="411"/>
      <c r="F60" s="411"/>
      <c r="G60" s="411"/>
      <c r="H60" s="411"/>
    </row>
    <row r="61" spans="2:9">
      <c r="B61" s="48" t="s">
        <v>1579</v>
      </c>
      <c r="E61" s="501"/>
      <c r="F61" s="411"/>
      <c r="G61" s="411"/>
      <c r="H61" s="411"/>
    </row>
    <row r="62" spans="2:9">
      <c r="B62" s="6" t="str">
        <f>nmSeg1&amp;" Revenue"</f>
        <v>Enterprise Revenue</v>
      </c>
      <c r="E62" s="521">
        <f>dataProd1TotalRev*dataProd1ServicesPct*dataProd1Seg1ServicesPct</f>
        <v>3918750</v>
      </c>
      <c r="F62" s="521">
        <f>dataProd1TotalRev*dataProd1ServicesPct*dataProd1Seg1ServicesPct</f>
        <v>4232250</v>
      </c>
      <c r="G62" s="521">
        <f>dataProd1TotalRev*dataProd1ServicesPct*dataProd1Seg1ServicesPct</f>
        <v>4655475.0000000009</v>
      </c>
      <c r="H62" s="521">
        <f>dataProd1TotalRev*dataProd1ServicesPct*dataProd1Seg1ServicesPct</f>
        <v>5214132.0000000019</v>
      </c>
      <c r="I62" s="6" t="s">
        <v>2167</v>
      </c>
    </row>
    <row r="63" spans="2:9">
      <c r="B63" s="6"/>
      <c r="C63" s="282" t="s">
        <v>907</v>
      </c>
      <c r="E63" s="1096"/>
      <c r="I63" s="6" t="s">
        <v>2168</v>
      </c>
    </row>
    <row r="64" spans="2:9">
      <c r="B64" s="6" t="str">
        <f>nmSeg2&amp;" Revenue"</f>
        <v>SMC Revenue</v>
      </c>
      <c r="E64" s="521">
        <f>dataProd1TotalRev*dataProd1ServicesPct*dataProd1Seg2ServicesPct</f>
        <v>11756250</v>
      </c>
      <c r="F64" s="521">
        <f>dataProd1TotalRev*dataProd1ServicesPct*dataProd1Seg2ServicesPct</f>
        <v>12696750</v>
      </c>
      <c r="G64" s="521">
        <f>dataProd1TotalRev*dataProd1ServicesPct*dataProd1Seg2ServicesPct</f>
        <v>13966425.000000004</v>
      </c>
      <c r="H64" s="521">
        <f>dataProd1TotalRev*dataProd1ServicesPct*dataProd1Seg2ServicesPct</f>
        <v>15642396.000000006</v>
      </c>
      <c r="I64" s="6" t="s">
        <v>2169</v>
      </c>
    </row>
    <row r="65" spans="1:9">
      <c r="B65" s="6"/>
      <c r="C65" s="282" t="s">
        <v>907</v>
      </c>
      <c r="E65" s="1096"/>
      <c r="F65" s="281">
        <f>(F64-E64)/E64</f>
        <v>0.08</v>
      </c>
      <c r="G65" s="281">
        <f>(G64-F64)/F64</f>
        <v>0.1000000000000003</v>
      </c>
      <c r="H65" s="281">
        <f>(H64-G64)/G64</f>
        <v>0.12000000000000011</v>
      </c>
      <c r="I65" s="6" t="s">
        <v>2170</v>
      </c>
    </row>
    <row r="66" spans="1:9">
      <c r="E66" s="501"/>
      <c r="F66" s="411"/>
      <c r="G66" s="411"/>
      <c r="H66" s="411"/>
    </row>
    <row r="67" spans="1:9">
      <c r="B67" s="48" t="s">
        <v>2586</v>
      </c>
      <c r="E67" s="411"/>
      <c r="F67" s="411"/>
      <c r="G67" s="411"/>
      <c r="H67" s="411"/>
    </row>
    <row r="68" spans="1:9">
      <c r="B68" s="6" t="str">
        <f>nmSeg1&amp;" Revenue"</f>
        <v>Enterprise Revenue</v>
      </c>
      <c r="E68" s="521">
        <f>dataProd1Seg1CloudRev+dataProd1Seg1NonCloudRev+dataProd1Seg1ServicesRev</f>
        <v>123048750</v>
      </c>
      <c r="F68" s="521">
        <f>dataProd1Seg1CloudRev+dataProd1Seg1NonCloudRev+dataProd1Seg1ServicesRev</f>
        <v>132892650</v>
      </c>
      <c r="G68" s="521">
        <f>dataProd1Seg1CloudRev+dataProd1Seg1NonCloudRev+dataProd1Seg1ServicesRev</f>
        <v>146181915.00000003</v>
      </c>
      <c r="H68" s="521">
        <f>dataProd1Seg1CloudRev+dataProd1Seg1NonCloudRev+dataProd1Seg1ServicesRev</f>
        <v>163723744.80000007</v>
      </c>
      <c r="I68" s="6" t="s">
        <v>2189</v>
      </c>
    </row>
    <row r="69" spans="1:9">
      <c r="B69" s="6"/>
      <c r="C69" s="282" t="s">
        <v>907</v>
      </c>
      <c r="E69" s="585"/>
      <c r="F69" s="1089">
        <f>(F68-E68)/E68</f>
        <v>0.08</v>
      </c>
      <c r="G69" s="1089">
        <f>(G68-F68)/F68</f>
        <v>0.10000000000000023</v>
      </c>
      <c r="H69" s="1089">
        <f>(H68-G68)/G68</f>
        <v>0.12000000000000026</v>
      </c>
      <c r="I69" s="6" t="s">
        <v>2587</v>
      </c>
    </row>
    <row r="70" spans="1:9">
      <c r="B70" s="6" t="str">
        <f>nmSeg2&amp;" Revenue"</f>
        <v>SMC Revenue</v>
      </c>
      <c r="E70" s="521">
        <f>dataProd1Seg2CloudRev+dataProd1Seg2NonCloudRev+dataProd1Seg2ServicesRev</f>
        <v>86212500</v>
      </c>
      <c r="F70" s="521">
        <f>dataProd1Seg2CloudRev+dataProd1Seg2NonCloudRev+dataProd1Seg2ServicesRev</f>
        <v>93109500</v>
      </c>
      <c r="G70" s="521">
        <f>dataProd1Seg2CloudRev+dataProd1Seg2NonCloudRev+dataProd1Seg2ServicesRev</f>
        <v>102420450.00000001</v>
      </c>
      <c r="H70" s="521">
        <f>dataProd1Seg2CloudRev+dataProd1Seg2NonCloudRev+dataProd1Seg2ServicesRev</f>
        <v>114710904.00000003</v>
      </c>
      <c r="I70" s="6" t="s">
        <v>2190</v>
      </c>
    </row>
    <row r="71" spans="1:9">
      <c r="B71" s="6"/>
      <c r="C71" s="282" t="s">
        <v>907</v>
      </c>
      <c r="E71" s="585"/>
      <c r="F71" s="1089">
        <f>(F70-E70)/E70</f>
        <v>0.08</v>
      </c>
      <c r="G71" s="1089">
        <f>(G70-F70)/F70</f>
        <v>0.10000000000000016</v>
      </c>
      <c r="H71" s="1089">
        <f>(H70-G70)/G70</f>
        <v>0.12000000000000013</v>
      </c>
      <c r="I71" s="6" t="s">
        <v>2588</v>
      </c>
    </row>
    <row r="72" spans="1:9">
      <c r="B72" s="6" t="str">
        <f>nmSeg3&amp;" Revenue"</f>
        <v>Consumer Revenue</v>
      </c>
      <c r="E72" s="521">
        <f>dataProd1Seg3CloudRev+dataProd1Seg3NonCloudRev</f>
        <v>109725000</v>
      </c>
      <c r="F72" s="521">
        <f>dataProd1Seg3CloudRev+dataProd1Seg3NonCloudRev</f>
        <v>118502999.99999999</v>
      </c>
      <c r="G72" s="521">
        <f>dataProd1Seg3CloudRev+dataProd1Seg3NonCloudRev</f>
        <v>130353300.00000001</v>
      </c>
      <c r="H72" s="521">
        <f>dataProd1Seg3CloudRev+dataProd1Seg3NonCloudRev</f>
        <v>145995696.00000003</v>
      </c>
      <c r="I72" s="6" t="s">
        <v>2191</v>
      </c>
    </row>
    <row r="73" spans="1:9">
      <c r="B73" s="6"/>
      <c r="C73" s="282" t="s">
        <v>907</v>
      </c>
      <c r="E73" s="585"/>
      <c r="F73" s="1089">
        <f>(F72-E72)/E72</f>
        <v>7.9999999999999863E-2</v>
      </c>
      <c r="G73" s="1089">
        <f>(G72-F72)/F72</f>
        <v>0.10000000000000027</v>
      </c>
      <c r="H73" s="1089">
        <f>(H72-G72)/G72</f>
        <v>0.12000000000000011</v>
      </c>
      <c r="I73" s="6" t="s">
        <v>2589</v>
      </c>
    </row>
    <row r="74" spans="1:9">
      <c r="E74" s="411"/>
      <c r="F74" s="411"/>
      <c r="G74" s="411"/>
      <c r="H74" s="411"/>
    </row>
    <row r="75" spans="1:9">
      <c r="E75" s="411"/>
      <c r="F75" s="411"/>
      <c r="G75" s="411"/>
      <c r="H75" s="411"/>
    </row>
    <row r="76" spans="1:9" s="413" customFormat="1">
      <c r="A76" s="412" t="str">
        <f>nmProd2</f>
        <v>Intelligent Cloud</v>
      </c>
      <c r="C76" s="412"/>
      <c r="F76" s="412"/>
    </row>
    <row r="77" spans="1:9">
      <c r="F77" s="6"/>
    </row>
    <row r="78" spans="1:9">
      <c r="E78" s="34" t="s">
        <v>177</v>
      </c>
      <c r="F78" s="34" t="s">
        <v>178</v>
      </c>
      <c r="G78" s="34" t="s">
        <v>179</v>
      </c>
      <c r="H78" s="34" t="s">
        <v>180</v>
      </c>
    </row>
    <row r="79" spans="1:9">
      <c r="B79" s="6" t="s">
        <v>903</v>
      </c>
      <c r="E79" s="521">
        <f>dataProd2Revenue</f>
        <v>247000000</v>
      </c>
      <c r="F79" s="521">
        <f>E79*(1+F80)</f>
        <v>321100000</v>
      </c>
      <c r="G79" s="521">
        <f>F79*(1+G80)</f>
        <v>369265000</v>
      </c>
      <c r="H79" s="521">
        <f>G79*(1+H80)</f>
        <v>461581250</v>
      </c>
      <c r="I79" s="6" t="s">
        <v>2176</v>
      </c>
    </row>
    <row r="80" spans="1:9">
      <c r="B80" s="6"/>
      <c r="C80" s="282" t="s">
        <v>907</v>
      </c>
      <c r="E80" s="414"/>
      <c r="F80" s="139">
        <v>0.3</v>
      </c>
      <c r="G80" s="139">
        <v>0.15</v>
      </c>
      <c r="H80" s="139">
        <v>0.25</v>
      </c>
    </row>
    <row r="82" spans="2:9">
      <c r="B82" s="6" t="s">
        <v>2171</v>
      </c>
    </row>
    <row r="83" spans="2:9">
      <c r="C83" s="6" t="s">
        <v>418</v>
      </c>
      <c r="E83" s="281">
        <v>0.97</v>
      </c>
      <c r="F83" s="281">
        <v>0.97</v>
      </c>
      <c r="G83" s="281">
        <v>0.97</v>
      </c>
      <c r="H83" s="281">
        <v>0.97</v>
      </c>
      <c r="I83" s="6" t="s">
        <v>2172</v>
      </c>
    </row>
    <row r="84" spans="2:9">
      <c r="C84" s="6" t="s">
        <v>459</v>
      </c>
      <c r="E84" s="281">
        <v>0.03</v>
      </c>
      <c r="F84" s="281">
        <v>0.03</v>
      </c>
      <c r="G84" s="281">
        <v>0.03</v>
      </c>
      <c r="H84" s="281">
        <v>0.03</v>
      </c>
      <c r="I84" s="6" t="s">
        <v>2173</v>
      </c>
    </row>
    <row r="86" spans="2:9">
      <c r="B86" s="6" t="str">
        <f>nmSeg1&amp;" %"</f>
        <v>Enterprise %</v>
      </c>
      <c r="E86" s="281">
        <v>0.45</v>
      </c>
      <c r="F86" s="281">
        <v>0.45</v>
      </c>
      <c r="G86" s="281">
        <v>0.45</v>
      </c>
      <c r="H86" s="281">
        <v>0.45</v>
      </c>
      <c r="I86" s="6" t="s">
        <v>2174</v>
      </c>
    </row>
    <row r="87" spans="2:9">
      <c r="B87" s="6" t="str">
        <f>nmSeg2&amp;" %"</f>
        <v>SMC %</v>
      </c>
      <c r="E87" s="281">
        <v>0.55000000000000004</v>
      </c>
      <c r="F87" s="281">
        <v>0.55000000000000004</v>
      </c>
      <c r="G87" s="281">
        <v>0.55000000000000004</v>
      </c>
      <c r="H87" s="281">
        <v>0.55000000000000004</v>
      </c>
      <c r="I87" s="6" t="s">
        <v>2175</v>
      </c>
    </row>
    <row r="88" spans="2:9">
      <c r="E88" s="411">
        <f>SUM(E86:E87)</f>
        <v>1</v>
      </c>
      <c r="F88" s="411">
        <f>SUM(F86:F87)</f>
        <v>1</v>
      </c>
      <c r="G88" s="411">
        <f>SUM(G86:G87)</f>
        <v>1</v>
      </c>
      <c r="H88" s="411">
        <f>SUM(H86:H87)</f>
        <v>1</v>
      </c>
    </row>
    <row r="89" spans="2:9">
      <c r="E89" s="411"/>
    </row>
    <row r="90" spans="2:9">
      <c r="B90" s="6"/>
      <c r="C90" s="6" t="str">
        <f>nmSeg1&amp;" %"</f>
        <v>Enterprise %</v>
      </c>
      <c r="E90" s="139">
        <v>0.25</v>
      </c>
      <c r="F90" s="139">
        <v>0.25</v>
      </c>
      <c r="G90" s="139">
        <v>0.25</v>
      </c>
      <c r="H90" s="139">
        <v>0.25</v>
      </c>
      <c r="I90" s="6" t="s">
        <v>2920</v>
      </c>
    </row>
    <row r="91" spans="2:9">
      <c r="B91" s="6"/>
      <c r="C91" s="6" t="str">
        <f>nmSeg2&amp;" %"</f>
        <v>SMC %</v>
      </c>
      <c r="E91" s="139">
        <v>0.75</v>
      </c>
      <c r="F91" s="139">
        <v>0.75</v>
      </c>
      <c r="G91" s="139">
        <v>0.75</v>
      </c>
      <c r="H91" s="139">
        <v>0.75</v>
      </c>
      <c r="I91" s="6" t="s">
        <v>2921</v>
      </c>
    </row>
    <row r="92" spans="2:9">
      <c r="E92" s="411"/>
      <c r="F92" s="411"/>
      <c r="G92" s="411"/>
      <c r="H92" s="411"/>
    </row>
    <row r="93" spans="2:9">
      <c r="B93" s="48" t="s">
        <v>1756</v>
      </c>
      <c r="E93" s="411"/>
      <c r="F93" s="411"/>
      <c r="G93" s="411"/>
      <c r="H93" s="411"/>
    </row>
    <row r="94" spans="2:9">
      <c r="B94" s="6" t="str">
        <f>nmSeg1&amp;" Revenue"</f>
        <v>Enterprise Revenue</v>
      </c>
      <c r="E94" s="521">
        <f>dataProd2TotalRev*dataProd2CloudPct*dataProd2Seg1Pct</f>
        <v>107815500</v>
      </c>
      <c r="F94" s="521">
        <f>dataProd2TotalRev*dataProd2CloudPct*dataProd2Seg1Pct</f>
        <v>140160150</v>
      </c>
      <c r="G94" s="521">
        <f>dataProd2TotalRev*dataProd2CloudPct*dataProd2Seg1Pct</f>
        <v>161184172.5</v>
      </c>
      <c r="H94" s="521">
        <f>dataProd2TotalRev*dataProd2CloudPct*dataProd2Seg1Pct</f>
        <v>201480215.625</v>
      </c>
      <c r="I94" s="6" t="s">
        <v>2177</v>
      </c>
    </row>
    <row r="95" spans="2:9">
      <c r="B95" s="6"/>
      <c r="C95" s="282" t="s">
        <v>907</v>
      </c>
      <c r="F95" s="1089">
        <f>(F94-E94)/E94</f>
        <v>0.3</v>
      </c>
      <c r="G95" s="1089">
        <f>(G94-F94)/F94</f>
        <v>0.15</v>
      </c>
      <c r="H95" s="1089">
        <f>(H94-G94)/G94</f>
        <v>0.25</v>
      </c>
      <c r="I95" s="6" t="s">
        <v>2178</v>
      </c>
    </row>
    <row r="96" spans="2:9">
      <c r="B96" s="6" t="str">
        <f>nmSeg2&amp;" Revenue"</f>
        <v>SMC Revenue</v>
      </c>
      <c r="E96" s="521">
        <f>dataProd2TotalRev*dataProd2CloudPct*dataProd2Seg2Pct</f>
        <v>131774500.00000001</v>
      </c>
      <c r="F96" s="521">
        <f>dataProd2TotalRev*dataProd2CloudPct*dataProd2Seg2Pct</f>
        <v>171306850</v>
      </c>
      <c r="G96" s="521">
        <f>dataProd2TotalRev*dataProd2CloudPct*dataProd2Seg2Pct</f>
        <v>197002877.50000003</v>
      </c>
      <c r="H96" s="521">
        <f>dataProd2TotalRev*dataProd2CloudPct*dataProd2Seg2Pct</f>
        <v>246253596.87500003</v>
      </c>
      <c r="I96" s="6" t="s">
        <v>2179</v>
      </c>
    </row>
    <row r="97" spans="1:9">
      <c r="B97" s="6"/>
      <c r="C97" s="282" t="s">
        <v>907</v>
      </c>
      <c r="F97" s="1089">
        <f>(F96-E96)/E96</f>
        <v>0.29999999999999988</v>
      </c>
      <c r="G97" s="1089">
        <f>(G96-F96)/F96</f>
        <v>0.15000000000000016</v>
      </c>
      <c r="H97" s="1089">
        <f>(H96-G96)/G96</f>
        <v>0.24999999999999997</v>
      </c>
      <c r="I97" s="6" t="s">
        <v>2180</v>
      </c>
    </row>
    <row r="98" spans="1:9">
      <c r="E98" s="411"/>
      <c r="F98" s="411"/>
      <c r="G98" s="411"/>
      <c r="H98" s="411"/>
    </row>
    <row r="99" spans="1:9">
      <c r="B99" s="48" t="s">
        <v>1579</v>
      </c>
      <c r="E99" s="411"/>
      <c r="F99" s="411"/>
      <c r="G99" s="411"/>
      <c r="H99" s="411"/>
    </row>
    <row r="100" spans="1:9">
      <c r="B100" s="6" t="str">
        <f>nmSeg1&amp;" Revenue"</f>
        <v>Enterprise Revenue</v>
      </c>
      <c r="E100" s="521">
        <f>dataProd2TotalRev*dataProd2ServicesPct*dataProd2Seg1ServicesPct</f>
        <v>1852500</v>
      </c>
      <c r="F100" s="521">
        <f>dataProd2TotalRev*dataProd2ServicesPct*dataProd2Seg1ServicesPct</f>
        <v>2408250</v>
      </c>
      <c r="G100" s="521">
        <f>dataProd2TotalRev*dataProd2ServicesPct*dataProd2Seg1ServicesPct</f>
        <v>2769487.5</v>
      </c>
      <c r="H100" s="521">
        <f>dataProd2TotalRev*dataProd2ServicesPct*dataProd2Seg1ServicesPct</f>
        <v>3461859.375</v>
      </c>
      <c r="I100" s="6" t="s">
        <v>2181</v>
      </c>
    </row>
    <row r="101" spans="1:9">
      <c r="B101" s="6"/>
      <c r="C101" s="282" t="s">
        <v>907</v>
      </c>
      <c r="E101" s="1096"/>
      <c r="F101" s="1089">
        <f>(F100-E100)/E100</f>
        <v>0.3</v>
      </c>
      <c r="G101" s="1089">
        <f>(G100-F100)/F100</f>
        <v>0.15</v>
      </c>
      <c r="H101" s="1089">
        <f>(H100-G100)/G100</f>
        <v>0.25</v>
      </c>
      <c r="I101" s="6" t="s">
        <v>2182</v>
      </c>
    </row>
    <row r="102" spans="1:9">
      <c r="B102" s="6" t="str">
        <f>nmSeg2&amp;" Revenue"</f>
        <v>SMC Revenue</v>
      </c>
      <c r="E102" s="521">
        <f>dataProd2TotalRev*dataProd2ServicesPct*dataProd2Seg2ServicesPct</f>
        <v>5557500</v>
      </c>
      <c r="F102" s="521">
        <f>dataProd2TotalRev*dataProd2ServicesPct*dataProd2Seg2ServicesPct</f>
        <v>7224750</v>
      </c>
      <c r="G102" s="521">
        <f>dataProd2TotalRev*dataProd2ServicesPct*dataProd2Seg2ServicesPct</f>
        <v>8308462.5</v>
      </c>
      <c r="H102" s="521">
        <f>dataProd2TotalRev*dataProd2ServicesPct*dataProd2Seg2ServicesPct</f>
        <v>10385578.125</v>
      </c>
      <c r="I102" s="6" t="s">
        <v>2183</v>
      </c>
    </row>
    <row r="103" spans="1:9">
      <c r="B103" s="6"/>
      <c r="C103" s="282" t="s">
        <v>907</v>
      </c>
      <c r="E103" s="1096"/>
      <c r="F103" s="1089">
        <f>(F102-E102)/E102</f>
        <v>0.3</v>
      </c>
      <c r="G103" s="1089">
        <f>(G102-F102)/F102</f>
        <v>0.15</v>
      </c>
      <c r="H103" s="1089">
        <f>(H102-G102)/G102</f>
        <v>0.25</v>
      </c>
      <c r="I103" s="6" t="s">
        <v>2184</v>
      </c>
    </row>
    <row r="104" spans="1:9">
      <c r="B104" s="6"/>
      <c r="C104" s="282"/>
      <c r="D104" s="6"/>
      <c r="E104" s="6"/>
      <c r="F104" s="6"/>
      <c r="G104" s="6"/>
      <c r="H104" s="6"/>
      <c r="I104" s="6"/>
    </row>
    <row r="105" spans="1:9">
      <c r="B105" s="48" t="s">
        <v>2586</v>
      </c>
      <c r="E105" s="411"/>
      <c r="F105" s="411"/>
      <c r="G105" s="411"/>
      <c r="H105" s="411"/>
    </row>
    <row r="106" spans="1:9">
      <c r="B106" s="6" t="str">
        <f>nmSeg1&amp;" Revenue"</f>
        <v>Enterprise Revenue</v>
      </c>
      <c r="E106" s="521">
        <f>dataProd2Seg1CloudRev+E100:H100</f>
        <v>109668000</v>
      </c>
      <c r="F106" s="521">
        <f>dataProd2Seg1CloudRev+F100:I100</f>
        <v>142568400</v>
      </c>
      <c r="G106" s="521">
        <f>dataProd2Seg1CloudRev+G100:J100</f>
        <v>163953660</v>
      </c>
      <c r="H106" s="521">
        <f>dataProd2Seg1CloudRev+H100:K100</f>
        <v>204942075</v>
      </c>
      <c r="I106" s="6" t="s">
        <v>2590</v>
      </c>
    </row>
    <row r="107" spans="1:9">
      <c r="B107" s="6"/>
      <c r="C107" s="282" t="s">
        <v>907</v>
      </c>
      <c r="F107" s="1089">
        <f>(F106-E106)/E106</f>
        <v>0.3</v>
      </c>
      <c r="G107" s="1089">
        <f>(G106-F106)/F106</f>
        <v>0.15</v>
      </c>
      <c r="H107" s="1089">
        <f>(H106-G106)/G106</f>
        <v>0.25</v>
      </c>
      <c r="I107" s="6" t="s">
        <v>2591</v>
      </c>
    </row>
    <row r="108" spans="1:9">
      <c r="B108" s="6" t="str">
        <f>nmSeg2&amp;" Revenue"</f>
        <v>SMC Revenue</v>
      </c>
      <c r="E108" s="521">
        <f>dataProd2Seg2CloudRev+E102:H102</f>
        <v>137332000</v>
      </c>
      <c r="F108" s="521">
        <f>dataProd2Seg2CloudRev+F102:I102</f>
        <v>178531600</v>
      </c>
      <c r="G108" s="521">
        <f>dataProd2Seg2CloudRev+G102:J102</f>
        <v>205311340.00000003</v>
      </c>
      <c r="H108" s="521">
        <f>dataProd2Seg2CloudRev+H102:K102</f>
        <v>256639175.00000003</v>
      </c>
      <c r="I108" s="6" t="s">
        <v>2592</v>
      </c>
    </row>
    <row r="109" spans="1:9">
      <c r="B109" s="6"/>
      <c r="C109" s="282" t="s">
        <v>907</v>
      </c>
      <c r="F109" s="1089">
        <f>(F108-E108)/E108</f>
        <v>0.3</v>
      </c>
      <c r="G109" s="1089">
        <f>(G108-F108)/F108</f>
        <v>0.15000000000000016</v>
      </c>
      <c r="H109" s="1089">
        <f>(H108-G108)/G108</f>
        <v>0.24999999999999997</v>
      </c>
      <c r="I109" s="6" t="s">
        <v>2593</v>
      </c>
    </row>
    <row r="110" spans="1:9">
      <c r="E110" s="411"/>
      <c r="F110" s="411"/>
      <c r="G110" s="411"/>
      <c r="H110" s="411"/>
    </row>
    <row r="111" spans="1:9" s="413" customFormat="1">
      <c r="A111" s="412" t="str">
        <f>nmProd3</f>
        <v>Personal Computing</v>
      </c>
      <c r="C111" s="412"/>
      <c r="F111" s="412"/>
    </row>
    <row r="112" spans="1:9">
      <c r="F112" s="6"/>
    </row>
    <row r="113" spans="2:9">
      <c r="E113" s="34" t="s">
        <v>177</v>
      </c>
      <c r="F113" s="34" t="s">
        <v>178</v>
      </c>
      <c r="G113" s="34" t="s">
        <v>179</v>
      </c>
      <c r="H113" s="34" t="s">
        <v>180</v>
      </c>
    </row>
    <row r="114" spans="2:9">
      <c r="B114" s="6" t="s">
        <v>903</v>
      </c>
      <c r="E114" s="1087">
        <f>dataProd3Revenue</f>
        <v>389500000</v>
      </c>
      <c r="F114" s="1087">
        <f>E114*(1+F115)</f>
        <v>397290000</v>
      </c>
      <c r="G114" s="1087">
        <f>F114*(1+G115)</f>
        <v>409208700</v>
      </c>
      <c r="H114" s="1087">
        <f>G114*(1+H115)</f>
        <v>413300787</v>
      </c>
    </row>
    <row r="115" spans="2:9">
      <c r="B115" s="6"/>
      <c r="C115" s="282" t="s">
        <v>907</v>
      </c>
      <c r="E115" s="414"/>
      <c r="F115" s="139">
        <v>0.02</v>
      </c>
      <c r="G115" s="139">
        <v>0.03</v>
      </c>
      <c r="H115" s="139">
        <v>0.01</v>
      </c>
    </row>
    <row r="117" spans="2:9">
      <c r="B117" s="6" t="str">
        <f>nmSeg1&amp;" %"</f>
        <v>Enterprise %</v>
      </c>
      <c r="E117" s="281">
        <v>0.3</v>
      </c>
      <c r="F117" s="281">
        <v>0.3</v>
      </c>
      <c r="G117" s="281">
        <v>0.3</v>
      </c>
      <c r="H117" s="281">
        <v>0.3</v>
      </c>
    </row>
    <row r="118" spans="2:9">
      <c r="B118" s="6" t="str">
        <f>nmSeg2&amp;" %"</f>
        <v>SMC %</v>
      </c>
      <c r="E118" s="281">
        <v>0.25</v>
      </c>
      <c r="F118" s="281">
        <v>0.25</v>
      </c>
      <c r="G118" s="281">
        <v>0.25</v>
      </c>
      <c r="H118" s="281">
        <v>0.25</v>
      </c>
    </row>
    <row r="119" spans="2:9">
      <c r="B119" s="6" t="str">
        <f>nmSeg3&amp;" %"</f>
        <v>Consumer %</v>
      </c>
      <c r="E119" s="281">
        <v>0.45</v>
      </c>
      <c r="F119" s="281">
        <v>0.45</v>
      </c>
      <c r="G119" s="281">
        <v>0.45</v>
      </c>
      <c r="H119" s="281">
        <v>0.45</v>
      </c>
    </row>
    <row r="120" spans="2:9">
      <c r="E120" s="411">
        <f>SUM(E117:E119)</f>
        <v>1</v>
      </c>
      <c r="F120" s="411">
        <f>SUM(F117:F119)</f>
        <v>1</v>
      </c>
      <c r="G120" s="411">
        <f>SUM(G117:G119)</f>
        <v>1</v>
      </c>
      <c r="H120" s="411">
        <f>SUM(H117:H119)</f>
        <v>1</v>
      </c>
    </row>
    <row r="121" spans="2:9">
      <c r="E121" s="411"/>
      <c r="F121" s="411"/>
      <c r="G121" s="411"/>
      <c r="H121" s="411"/>
    </row>
    <row r="122" spans="2:9">
      <c r="B122" s="6" t="str">
        <f>nmSeg1&amp;" Revenue"</f>
        <v>Enterprise Revenue</v>
      </c>
      <c r="E122" s="1087">
        <f>E$114*E117</f>
        <v>116850000</v>
      </c>
      <c r="F122" s="1087">
        <f>F$114*F117</f>
        <v>119187000</v>
      </c>
      <c r="G122" s="1087">
        <f>G$114*G117</f>
        <v>122762610</v>
      </c>
      <c r="H122" s="1087">
        <f>H$114*H117</f>
        <v>123990236.09999999</v>
      </c>
      <c r="I122" s="6" t="s">
        <v>908</v>
      </c>
    </row>
    <row r="123" spans="2:9">
      <c r="B123" s="6"/>
      <c r="C123" s="282" t="s">
        <v>907</v>
      </c>
      <c r="F123" s="1089">
        <f>(F122-E122)/E122</f>
        <v>0.02</v>
      </c>
      <c r="G123" s="1089">
        <f>(G122-F122)/F122</f>
        <v>0.03</v>
      </c>
      <c r="H123" s="1089">
        <f>(H122-G122)/G122</f>
        <v>9.9999999999999516E-3</v>
      </c>
      <c r="I123" s="6" t="s">
        <v>919</v>
      </c>
    </row>
    <row r="124" spans="2:9">
      <c r="B124" s="6" t="str">
        <f>nmSeg2&amp;" Revenue"</f>
        <v>SMC Revenue</v>
      </c>
      <c r="E124" s="521">
        <f>E$114*E118</f>
        <v>97375000</v>
      </c>
      <c r="F124" s="521">
        <f>F$114*F118</f>
        <v>99322500</v>
      </c>
      <c r="G124" s="521">
        <f>G$114*G118</f>
        <v>102302175</v>
      </c>
      <c r="H124" s="521">
        <f>H$114*H118</f>
        <v>103325196.75</v>
      </c>
      <c r="I124" s="6" t="s">
        <v>909</v>
      </c>
    </row>
    <row r="125" spans="2:9">
      <c r="B125" s="6"/>
      <c r="C125" s="282" t="s">
        <v>907</v>
      </c>
      <c r="F125" s="1089">
        <f>(F124-E124)/E124</f>
        <v>0.02</v>
      </c>
      <c r="G125" s="1089">
        <f>(G124-F124)/F124</f>
        <v>0.03</v>
      </c>
      <c r="H125" s="1089">
        <f>(H124-G124)/G124</f>
        <v>0.01</v>
      </c>
      <c r="I125" s="6" t="s">
        <v>920</v>
      </c>
    </row>
    <row r="126" spans="2:9">
      <c r="B126" s="6" t="str">
        <f>nmSeg3&amp;" Revenue"</f>
        <v>Consumer Revenue</v>
      </c>
      <c r="E126" s="521">
        <f>E$114*E119</f>
        <v>175275000</v>
      </c>
      <c r="F126" s="521">
        <f>F$114*F119</f>
        <v>178780500</v>
      </c>
      <c r="G126" s="521">
        <f>G$114*G119</f>
        <v>184143915</v>
      </c>
      <c r="H126" s="521">
        <f>H$114*H119</f>
        <v>185985354.15000001</v>
      </c>
      <c r="I126" s="6" t="s">
        <v>910</v>
      </c>
    </row>
    <row r="127" spans="2:9">
      <c r="B127" s="6"/>
      <c r="C127" s="282" t="s">
        <v>907</v>
      </c>
      <c r="E127" s="501"/>
      <c r="F127" s="1089">
        <f>(F126-E126)/E126</f>
        <v>0.02</v>
      </c>
      <c r="G127" s="1089">
        <f>(G126-F126)/F126</f>
        <v>0.03</v>
      </c>
      <c r="H127" s="1089">
        <f>(H126-G126)/G126</f>
        <v>1.0000000000000033E-2</v>
      </c>
      <c r="I127" s="6" t="s">
        <v>921</v>
      </c>
    </row>
    <row r="128" spans="2:9">
      <c r="E128" s="411"/>
      <c r="F128" s="411"/>
      <c r="G128" s="411"/>
      <c r="H128" s="411"/>
    </row>
    <row r="130" spans="1:9" s="413" customFormat="1">
      <c r="A130" s="412" t="s">
        <v>903</v>
      </c>
      <c r="C130" s="412"/>
      <c r="F130" s="412"/>
    </row>
    <row r="131" spans="1:9">
      <c r="F131" s="6"/>
    </row>
    <row r="132" spans="1:9">
      <c r="E132" s="34" t="s">
        <v>177</v>
      </c>
      <c r="F132" s="34" t="s">
        <v>178</v>
      </c>
      <c r="G132" s="34" t="s">
        <v>179</v>
      </c>
      <c r="H132" s="34" t="s">
        <v>180</v>
      </c>
    </row>
    <row r="133" spans="1:9">
      <c r="B133" s="6" t="s">
        <v>903</v>
      </c>
      <c r="E133" s="1087">
        <f>E19+E79+E114</f>
        <v>950000000</v>
      </c>
      <c r="F133" s="1087">
        <f>F19+F79+F114</f>
        <v>1056970000</v>
      </c>
      <c r="G133" s="1087">
        <f>G19+G79+G114</f>
        <v>1150911700</v>
      </c>
      <c r="H133" s="1087">
        <f>H19+H79+H114</f>
        <v>1292012597</v>
      </c>
    </row>
    <row r="134" spans="1:9">
      <c r="B134" s="6"/>
      <c r="C134" s="282" t="s">
        <v>923</v>
      </c>
      <c r="E134" s="642">
        <v>7.0000000000000007E-2</v>
      </c>
      <c r="F134" s="642">
        <f>(F133-E133)/F133</f>
        <v>0.10120438612259572</v>
      </c>
      <c r="G134" s="642">
        <f>(G133-F133)/G133</f>
        <v>8.1623724913040679E-2</v>
      </c>
      <c r="H134" s="642">
        <f>(H133-G133)/H133</f>
        <v>0.10921015578921635</v>
      </c>
      <c r="I134" s="6"/>
    </row>
    <row r="135" spans="1:9">
      <c r="E135" s="411"/>
      <c r="F135" s="411"/>
      <c r="G135" s="411"/>
      <c r="H135" s="411"/>
    </row>
    <row r="136" spans="1:9">
      <c r="B136" s="282" t="s">
        <v>911</v>
      </c>
      <c r="E136" s="411"/>
      <c r="F136" s="411"/>
      <c r="G136" s="411"/>
      <c r="H136" s="411"/>
    </row>
    <row r="137" spans="1:9">
      <c r="B137" s="6" t="str">
        <f>nmSeg1&amp;" Revenue"</f>
        <v>Enterprise Revenue</v>
      </c>
      <c r="E137" s="1087">
        <f>dataProd1Seg1Rev+dataProd2Seg1Rev+dataProd3Seg1Revenue</f>
        <v>349566750</v>
      </c>
      <c r="F137" s="1087">
        <f>dataProd1Seg1Rev+dataProd2Seg1Rev+dataProd3Seg1Revenue</f>
        <v>394648050</v>
      </c>
      <c r="G137" s="1087">
        <f>dataProd1Seg1Rev+dataProd2Seg1Rev+dataProd3Seg1Revenue</f>
        <v>432898185</v>
      </c>
      <c r="H137" s="1087">
        <f>dataProd1Seg1Rev+dataProd2Seg1Rev+dataProd3Seg1Revenue</f>
        <v>492656055.9000001</v>
      </c>
      <c r="I137" s="6" t="s">
        <v>913</v>
      </c>
    </row>
    <row r="138" spans="1:9">
      <c r="B138" s="6"/>
      <c r="C138" s="282" t="s">
        <v>923</v>
      </c>
      <c r="E138" s="642">
        <v>0.11</v>
      </c>
      <c r="F138" s="642">
        <f>(F137-E137)/F137</f>
        <v>0.11423165526853611</v>
      </c>
      <c r="G138" s="642">
        <f>(G137-F137)/G137</f>
        <v>8.8358270663574157E-2</v>
      </c>
      <c r="H138" s="642">
        <f>(H137-G137)/H137</f>
        <v>0.12129734362207824</v>
      </c>
      <c r="I138" s="6"/>
    </row>
    <row r="139" spans="1:9">
      <c r="B139" s="6"/>
      <c r="C139" s="282" t="s">
        <v>912</v>
      </c>
      <c r="E139" s="642">
        <f>E137/E$133</f>
        <v>0.36796499999999999</v>
      </c>
      <c r="F139" s="642">
        <f>F137/F$133</f>
        <v>0.37337677512133743</v>
      </c>
      <c r="G139" s="642">
        <f>G137/G$133</f>
        <v>0.3761350110525421</v>
      </c>
      <c r="H139" s="642">
        <f>H137/H$133</f>
        <v>0.38130901900177067</v>
      </c>
      <c r="I139" s="6"/>
    </row>
    <row r="140" spans="1:9">
      <c r="B140" s="6" t="str">
        <f>nmSeg2&amp;" Revenue"</f>
        <v>SMC Revenue</v>
      </c>
      <c r="E140" s="1087">
        <f>dataProd1Seg2Rev+dataProd2Seg2Rev+dataProd3Seg2Revenue</f>
        <v>320919500</v>
      </c>
      <c r="F140" s="1087">
        <f>dataProd1Seg2Rev+dataProd2Seg2Rev+dataProd3Seg2Revenue</f>
        <v>370963600</v>
      </c>
      <c r="G140" s="1087">
        <f>dataProd1Seg2Rev+dataProd2Seg2Rev+dataProd3Seg2Revenue</f>
        <v>410033965.00000006</v>
      </c>
      <c r="H140" s="1087">
        <f>dataProd1Seg2Rev+dataProd2Seg2Rev+dataProd3Seg2Revenue</f>
        <v>474675275.75000006</v>
      </c>
      <c r="I140" s="6" t="s">
        <v>914</v>
      </c>
    </row>
    <row r="141" spans="1:9">
      <c r="B141" s="6"/>
      <c r="C141" s="282" t="s">
        <v>923</v>
      </c>
      <c r="E141" s="6"/>
      <c r="F141" s="642">
        <f>(F140-E140)/F140</f>
        <v>0.1349029931777673</v>
      </c>
      <c r="G141" s="642">
        <f>(G140-F140)/G140</f>
        <v>9.5285679565594167E-2</v>
      </c>
      <c r="H141" s="642">
        <f>(H140-G140)/H140</f>
        <v>0.13618006677905214</v>
      </c>
      <c r="I141" s="6"/>
    </row>
    <row r="142" spans="1:9">
      <c r="B142" s="6"/>
      <c r="C142" s="282" t="s">
        <v>912</v>
      </c>
      <c r="E142" s="642">
        <f>E140/E$133</f>
        <v>0.33781</v>
      </c>
      <c r="F142" s="642">
        <f>F140/F$133</f>
        <v>0.35096890167175981</v>
      </c>
      <c r="G142" s="642">
        <f>G140/G$133</f>
        <v>0.35626883018045613</v>
      </c>
      <c r="H142" s="642">
        <f>H140/H$133</f>
        <v>0.36739214219131955</v>
      </c>
      <c r="I142" s="6"/>
    </row>
    <row r="143" spans="1:9">
      <c r="B143" s="6" t="str">
        <f>nmSeg3&amp;" Revenue"</f>
        <v>Consumer Revenue</v>
      </c>
      <c r="E143" s="1087">
        <f>dataProd1Seg3Rev+dataProd3Seg3Revenue</f>
        <v>285000000</v>
      </c>
      <c r="F143" s="1087">
        <f>dataProd1Seg3Rev+dataProd3Seg3Revenue</f>
        <v>297283500</v>
      </c>
      <c r="G143" s="1087">
        <f>dataProd1Seg3Rev+dataProd3Seg3Revenue</f>
        <v>314497215</v>
      </c>
      <c r="H143" s="1087">
        <f>dataProd1Seg3Rev+dataProd3Seg3Revenue</f>
        <v>331981050.15000004</v>
      </c>
      <c r="I143" s="6" t="s">
        <v>915</v>
      </c>
    </row>
    <row r="144" spans="1:9">
      <c r="B144" s="6"/>
      <c r="C144" s="282" t="s">
        <v>923</v>
      </c>
      <c r="E144" s="6"/>
      <c r="F144" s="642">
        <f>(F143-E143)/F143</f>
        <v>4.131914485667721E-2</v>
      </c>
      <c r="G144" s="642">
        <f>(G143-F143)/G143</f>
        <v>5.4734077692866055E-2</v>
      </c>
      <c r="H144" s="642">
        <f>(H143-G143)/H143</f>
        <v>5.2665160080975285E-2</v>
      </c>
      <c r="I144" s="6"/>
    </row>
    <row r="145" spans="1:10">
      <c r="B145" s="6"/>
      <c r="C145" s="282" t="s">
        <v>912</v>
      </c>
      <c r="E145" s="642">
        <f>E143/E$133</f>
        <v>0.3</v>
      </c>
      <c r="F145" s="642">
        <f>F143/F$133</f>
        <v>0.2812601114506561</v>
      </c>
      <c r="G145" s="642">
        <f>G143/G$133</f>
        <v>0.2732592039858488</v>
      </c>
      <c r="H145" s="642">
        <f>H143/H$133</f>
        <v>0.25694877195535581</v>
      </c>
      <c r="I145" s="6"/>
    </row>
    <row r="146" spans="1:10">
      <c r="D146" s="6"/>
      <c r="E146" s="6"/>
      <c r="F146" s="6"/>
      <c r="G146" s="6"/>
      <c r="H146" s="6"/>
      <c r="I146" s="6"/>
      <c r="J146" s="6"/>
    </row>
    <row r="147" spans="1:10">
      <c r="B147" s="282" t="s">
        <v>404</v>
      </c>
      <c r="E147" s="6"/>
      <c r="F147" s="6"/>
      <c r="G147" s="6"/>
      <c r="H147" s="6"/>
    </row>
    <row r="148" spans="1:10">
      <c r="B148" s="6" t="str">
        <f>nmProd1</f>
        <v>Productivity &amp; Business</v>
      </c>
      <c r="E148" s="1087">
        <f>E19</f>
        <v>313500000</v>
      </c>
      <c r="F148" s="1087">
        <f>F19</f>
        <v>338580000</v>
      </c>
      <c r="G148" s="1087">
        <f>G19</f>
        <v>372438000.00000006</v>
      </c>
      <c r="H148" s="1087">
        <f>H19</f>
        <v>417130560.00000012</v>
      </c>
      <c r="I148" s="6" t="s">
        <v>916</v>
      </c>
    </row>
    <row r="149" spans="1:10">
      <c r="B149" s="6"/>
      <c r="C149" s="282" t="s">
        <v>923</v>
      </c>
      <c r="E149" s="6"/>
      <c r="F149" s="642">
        <f>(F148-E148)/F148</f>
        <v>7.407407407407407E-2</v>
      </c>
      <c r="G149" s="642">
        <f>(G148-F148)/G148</f>
        <v>9.090909090909105E-2</v>
      </c>
      <c r="H149" s="642">
        <f>(H148-G148)/H148</f>
        <v>0.10714285714285726</v>
      </c>
      <c r="I149" s="6"/>
    </row>
    <row r="150" spans="1:10">
      <c r="B150" s="6"/>
      <c r="C150" s="282" t="s">
        <v>912</v>
      </c>
      <c r="E150" s="642">
        <f>E148/E$133</f>
        <v>0.33</v>
      </c>
      <c r="F150" s="642">
        <f>F148/F$133</f>
        <v>0.32033075678590689</v>
      </c>
      <c r="G150" s="642">
        <f>G148/G$133</f>
        <v>0.32360258393411073</v>
      </c>
      <c r="H150" s="642">
        <f>H148/H$133</f>
        <v>0.32285332276833839</v>
      </c>
      <c r="I150" s="6"/>
    </row>
    <row r="151" spans="1:10">
      <c r="B151" s="6" t="str">
        <f>nmProd2</f>
        <v>Intelligent Cloud</v>
      </c>
      <c r="E151" s="1087">
        <f>E79</f>
        <v>247000000</v>
      </c>
      <c r="F151" s="1087">
        <f>F79</f>
        <v>321100000</v>
      </c>
      <c r="G151" s="1087">
        <f>G79</f>
        <v>369265000</v>
      </c>
      <c r="H151" s="1087">
        <f>H79</f>
        <v>461581250</v>
      </c>
      <c r="I151" s="6" t="s">
        <v>917</v>
      </c>
    </row>
    <row r="152" spans="1:10">
      <c r="B152" s="6"/>
      <c r="C152" s="282" t="s">
        <v>923</v>
      </c>
      <c r="E152" s="6"/>
      <c r="F152" s="642">
        <f>(F151-E151)/F151</f>
        <v>0.23076923076923078</v>
      </c>
      <c r="G152" s="642">
        <f>(G151-F151)/G151</f>
        <v>0.13043478260869565</v>
      </c>
      <c r="H152" s="642">
        <f>(H151-G151)/H151</f>
        <v>0.2</v>
      </c>
      <c r="I152" s="6"/>
    </row>
    <row r="153" spans="1:10">
      <c r="B153" s="6"/>
      <c r="C153" s="282" t="s">
        <v>912</v>
      </c>
      <c r="E153" s="642">
        <f>E151/E$133</f>
        <v>0.26</v>
      </c>
      <c r="F153" s="642">
        <f>F151/F$133</f>
        <v>0.30379291749056264</v>
      </c>
      <c r="G153" s="642">
        <f>G151/G$133</f>
        <v>0.32084563915720032</v>
      </c>
      <c r="H153" s="642">
        <f>H151/H$133</f>
        <v>0.35725754615068972</v>
      </c>
      <c r="I153" s="6"/>
    </row>
    <row r="154" spans="1:10">
      <c r="B154" s="6" t="str">
        <f>nmProd3</f>
        <v>Personal Computing</v>
      </c>
      <c r="E154" s="1087">
        <f>E114</f>
        <v>389500000</v>
      </c>
      <c r="F154" s="1087">
        <f>F114</f>
        <v>397290000</v>
      </c>
      <c r="G154" s="1087">
        <f>G114</f>
        <v>409208700</v>
      </c>
      <c r="H154" s="1087">
        <f>H114</f>
        <v>413300787</v>
      </c>
      <c r="I154" s="6" t="s">
        <v>918</v>
      </c>
    </row>
    <row r="155" spans="1:10">
      <c r="B155" s="6"/>
      <c r="C155" s="282" t="s">
        <v>923</v>
      </c>
      <c r="E155" s="6"/>
      <c r="F155" s="642">
        <f>(F154-E154)/F154</f>
        <v>1.9607843137254902E-2</v>
      </c>
      <c r="G155" s="642">
        <f>(G154-F154)/G154</f>
        <v>2.9126213592233011E-2</v>
      </c>
      <c r="H155" s="642">
        <f>(H154-G154)/H154</f>
        <v>9.9009900990099011E-3</v>
      </c>
      <c r="I155" s="6"/>
    </row>
    <row r="156" spans="1:10">
      <c r="B156" s="6"/>
      <c r="C156" s="282" t="s">
        <v>912</v>
      </c>
      <c r="E156" s="642">
        <f>E154/E$133</f>
        <v>0.41</v>
      </c>
      <c r="F156" s="642">
        <f>F154/F$133</f>
        <v>0.37587632572353047</v>
      </c>
      <c r="G156" s="642">
        <f>G154/G$133</f>
        <v>0.355551776908689</v>
      </c>
      <c r="H156" s="642">
        <f>H154/H$133</f>
        <v>0.31988913108097194</v>
      </c>
      <c r="I156" s="6"/>
    </row>
    <row r="157" spans="1:10">
      <c r="B157" s="6"/>
      <c r="C157" s="282"/>
    </row>
    <row r="158" spans="1:10" s="413" customFormat="1">
      <c r="A158" s="412" t="str">
        <f>nmProd3 &amp;" Units"</f>
        <v>Personal Computing Units</v>
      </c>
      <c r="C158" s="412"/>
      <c r="F158" s="412"/>
    </row>
    <row r="159" spans="1:10">
      <c r="F159" s="6"/>
    </row>
    <row r="160" spans="1:10">
      <c r="E160" s="34" t="s">
        <v>177</v>
      </c>
      <c r="F160" s="34" t="s">
        <v>178</v>
      </c>
      <c r="G160" s="34" t="s">
        <v>179</v>
      </c>
      <c r="H160" s="34" t="s">
        <v>180</v>
      </c>
    </row>
    <row r="161" spans="2:9">
      <c r="B161" s="6" t="s">
        <v>903</v>
      </c>
      <c r="E161" s="521">
        <f>dataProd3Revenue</f>
        <v>389500000</v>
      </c>
      <c r="F161" s="521">
        <f>E161*(1+F162)</f>
        <v>397290000</v>
      </c>
      <c r="G161" s="521">
        <f>F161*(1+G162)</f>
        <v>409208700</v>
      </c>
      <c r="H161" s="521">
        <f>G161*(1+H162)</f>
        <v>413300787</v>
      </c>
    </row>
    <row r="162" spans="2:9">
      <c r="B162" s="6"/>
      <c r="C162" s="282" t="s">
        <v>907</v>
      </c>
      <c r="E162" s="414"/>
      <c r="F162" s="642">
        <v>0.02</v>
      </c>
      <c r="G162" s="642">
        <v>0.03</v>
      </c>
      <c r="H162" s="642">
        <v>0.01</v>
      </c>
    </row>
    <row r="164" spans="2:9">
      <c r="B164" s="6" t="str">
        <f>nmSeg1&amp;" %"</f>
        <v>Enterprise %</v>
      </c>
      <c r="E164" s="281">
        <v>0.3</v>
      </c>
      <c r="F164" s="281">
        <v>0.3</v>
      </c>
      <c r="G164" s="281">
        <v>0.3</v>
      </c>
      <c r="H164" s="281">
        <v>0.3</v>
      </c>
    </row>
    <row r="165" spans="2:9">
      <c r="B165" s="6" t="str">
        <f>nmSeg2&amp;" %"</f>
        <v>SMC %</v>
      </c>
      <c r="E165" s="281">
        <v>0.25</v>
      </c>
      <c r="F165" s="281">
        <v>0.25</v>
      </c>
      <c r="G165" s="281">
        <v>0.25</v>
      </c>
      <c r="H165" s="281">
        <v>0.25</v>
      </c>
    </row>
    <row r="166" spans="2:9">
      <c r="B166" s="6" t="str">
        <f>nmSeg3&amp;" %"</f>
        <v>Consumer %</v>
      </c>
      <c r="E166" s="281">
        <v>0.45</v>
      </c>
      <c r="F166" s="281">
        <v>0.45</v>
      </c>
      <c r="G166" s="281">
        <v>0.45</v>
      </c>
      <c r="H166" s="281">
        <v>0.45</v>
      </c>
    </row>
    <row r="167" spans="2:9">
      <c r="E167" s="411">
        <f>SUM(E164:E166)</f>
        <v>1</v>
      </c>
      <c r="F167" s="411">
        <f>SUM(F164:F166)</f>
        <v>1</v>
      </c>
      <c r="G167" s="411">
        <f>SUM(G164:G166)</f>
        <v>1</v>
      </c>
      <c r="H167" s="411">
        <f>SUM(H164:H166)</f>
        <v>1</v>
      </c>
    </row>
    <row r="168" spans="2:9">
      <c r="E168" s="411"/>
      <c r="F168" s="411"/>
      <c r="G168" s="411"/>
      <c r="H168" s="411"/>
    </row>
    <row r="169" spans="2:9">
      <c r="B169" s="6" t="str">
        <f>nmSeg1&amp;" Revenue"</f>
        <v>Enterprise Revenue</v>
      </c>
      <c r="E169" s="1087">
        <f>E$114*E164</f>
        <v>116850000</v>
      </c>
      <c r="F169" s="1087">
        <f>F$114*F164</f>
        <v>119187000</v>
      </c>
      <c r="G169" s="1087">
        <f>G$114*G164</f>
        <v>122762610</v>
      </c>
      <c r="H169" s="1087">
        <f>H$114*H164</f>
        <v>123990236.09999999</v>
      </c>
      <c r="I169" s="6"/>
    </row>
    <row r="170" spans="2:9">
      <c r="B170" s="6"/>
      <c r="C170" s="282" t="s">
        <v>1536</v>
      </c>
      <c r="E170" s="1088">
        <f>ROUNDDOWN((E169/dataProd3Price),0)</f>
        <v>365156</v>
      </c>
      <c r="F170" s="1088">
        <f>ROUNDDOWN((F169/dataProd3Price),0)</f>
        <v>372459</v>
      </c>
      <c r="G170" s="1088">
        <f>ROUNDDOWN((G169/dataProd3Price),0)</f>
        <v>383633</v>
      </c>
      <c r="H170" s="1088">
        <f>ROUNDDOWN((H169/dataProd3Price),0)</f>
        <v>387469</v>
      </c>
      <c r="I170" s="6"/>
    </row>
    <row r="171" spans="2:9">
      <c r="B171" s="6" t="str">
        <f>nmSeg2&amp;" Revenue"</f>
        <v>SMC Revenue</v>
      </c>
      <c r="E171" s="1087">
        <f>E$114*E165</f>
        <v>97375000</v>
      </c>
      <c r="F171" s="1087">
        <f>F$114*F165</f>
        <v>99322500</v>
      </c>
      <c r="G171" s="1087">
        <f>G$114*G165</f>
        <v>102302175</v>
      </c>
      <c r="H171" s="1087">
        <f>H$114*H165</f>
        <v>103325196.75</v>
      </c>
      <c r="I171" s="6"/>
    </row>
    <row r="172" spans="2:9">
      <c r="B172" s="6"/>
      <c r="C172" s="282" t="s">
        <v>1536</v>
      </c>
      <c r="E172" s="1088">
        <f>ROUNDDOWN((E171/dataProd3Price),0)</f>
        <v>304296</v>
      </c>
      <c r="F172" s="1088">
        <f>ROUNDDOWN((F171/dataProd3Price),0)</f>
        <v>310382</v>
      </c>
      <c r="G172" s="1088">
        <f>ROUNDDOWN((G171/dataProd3Price),0)</f>
        <v>319694</v>
      </c>
      <c r="H172" s="1088">
        <f>ROUNDDOWN((H171/dataProd3Price),0)</f>
        <v>322891</v>
      </c>
      <c r="I172" s="6"/>
    </row>
    <row r="173" spans="2:9">
      <c r="B173" s="6" t="str">
        <f>nmSeg3&amp;" Revenue"</f>
        <v>Consumer Revenue</v>
      </c>
      <c r="E173" s="1087">
        <f>E$114*E166</f>
        <v>175275000</v>
      </c>
      <c r="F173" s="1087">
        <f>F$114*F166</f>
        <v>178780500</v>
      </c>
      <c r="G173" s="1087">
        <f>G$114*G166</f>
        <v>184143915</v>
      </c>
      <c r="H173" s="1087">
        <f>H$114*H166</f>
        <v>185985354.15000001</v>
      </c>
      <c r="I173" s="6"/>
    </row>
    <row r="174" spans="2:9">
      <c r="B174" s="6"/>
      <c r="C174" s="282" t="s">
        <v>1536</v>
      </c>
      <c r="E174" s="1088">
        <f>ROUNDDOWN((E173/dataProd3Price),0)</f>
        <v>547734</v>
      </c>
      <c r="F174" s="1088">
        <f>ROUNDDOWN((F173/dataProd3Price),0)</f>
        <v>558689</v>
      </c>
      <c r="G174" s="1088">
        <f>ROUNDDOWN((G173/dataProd3Price),0)</f>
        <v>575449</v>
      </c>
      <c r="H174" s="1088">
        <f>ROUNDDOWN((H173/dataProd3Price),0)</f>
        <v>581204</v>
      </c>
      <c r="I174" s="6"/>
    </row>
    <row r="175" spans="2:9">
      <c r="E175" s="411"/>
      <c r="F175" s="411"/>
      <c r="G175" s="411"/>
      <c r="H175" s="411"/>
    </row>
    <row r="176" spans="2:9">
      <c r="B176" s="6" t="str">
        <f>nmSeg1&amp;" Total In Market"</f>
        <v>Enterprise Total In Market</v>
      </c>
      <c r="E176" s="1086">
        <f>E170*dataNumTeams</f>
        <v>4016716</v>
      </c>
      <c r="F176" s="1086">
        <f>F170*dataNumTeams</f>
        <v>4097049</v>
      </c>
      <c r="G176" s="1086">
        <f>G170*dataNumTeams</f>
        <v>4219963</v>
      </c>
      <c r="H176" s="1086">
        <f>H170*dataNumTeams</f>
        <v>4262159</v>
      </c>
      <c r="I176" s="6" t="s">
        <v>1537</v>
      </c>
    </row>
    <row r="177" spans="1:9">
      <c r="B177" s="6" t="str">
        <f>nmSeg2&amp;" Total In Market"</f>
        <v>SMC Total In Market</v>
      </c>
      <c r="E177" s="1086">
        <f>E172*dataNumTeams</f>
        <v>3347256</v>
      </c>
      <c r="F177" s="1086">
        <f>F172*dataNumTeams</f>
        <v>3414202</v>
      </c>
      <c r="G177" s="1086">
        <f>G172*dataNumTeams</f>
        <v>3516634</v>
      </c>
      <c r="H177" s="1086">
        <f>H172*dataNumTeams</f>
        <v>3551801</v>
      </c>
      <c r="I177" s="6" t="s">
        <v>1538</v>
      </c>
    </row>
    <row r="178" spans="1:9">
      <c r="B178" s="6" t="str">
        <f>nmSeg3&amp;" Total In Market"</f>
        <v>Consumer Total In Market</v>
      </c>
      <c r="E178" s="1086">
        <f>E174*dataNumTeams</f>
        <v>6025074</v>
      </c>
      <c r="F178" s="1086">
        <f>F174*dataNumTeams</f>
        <v>6145579</v>
      </c>
      <c r="G178" s="1086">
        <f>G174*dataNumTeams</f>
        <v>6329939</v>
      </c>
      <c r="H178" s="1086">
        <f>H174*dataNumTeams</f>
        <v>6393244</v>
      </c>
      <c r="I178" s="6" t="s">
        <v>1539</v>
      </c>
    </row>
    <row r="181" spans="1:9" s="413" customFormat="1">
      <c r="A181" s="412" t="str">
        <f>nmProd1&amp;" Market Model Drivers"</f>
        <v>Productivity &amp; Business Market Model Drivers</v>
      </c>
      <c r="C181" s="412"/>
    </row>
    <row r="183" spans="1:9">
      <c r="B183" s="6" t="str">
        <f>nmProd1</f>
        <v>Productivity &amp; Business</v>
      </c>
    </row>
    <row r="184" spans="1:9">
      <c r="C184" s="6" t="s">
        <v>116</v>
      </c>
      <c r="D184" s="5" t="s">
        <v>191</v>
      </c>
      <c r="E184" s="5" t="str">
        <f>nmSeg1</f>
        <v>Enterprise</v>
      </c>
      <c r="F184" s="5" t="str">
        <f>nmSeg2</f>
        <v>SMC</v>
      </c>
      <c r="G184" s="5" t="str">
        <f>nmSeg3</f>
        <v>Consumer</v>
      </c>
      <c r="I184" s="6" t="s">
        <v>195</v>
      </c>
    </row>
    <row r="185" spans="1:9">
      <c r="B185" s="5">
        <v>1</v>
      </c>
      <c r="C185" s="35" t="str">
        <f>nmPrice</f>
        <v>Price</v>
      </c>
      <c r="D185" s="140">
        <v>-1</v>
      </c>
      <c r="E185" s="135">
        <v>8</v>
      </c>
      <c r="F185" s="135">
        <v>9</v>
      </c>
      <c r="G185" s="135">
        <v>9</v>
      </c>
    </row>
    <row r="186" spans="1:9">
      <c r="B186" s="5">
        <v>2</v>
      </c>
      <c r="C186" s="137" t="s">
        <v>450</v>
      </c>
      <c r="D186" s="140">
        <v>1</v>
      </c>
      <c r="E186" s="135">
        <v>9</v>
      </c>
      <c r="F186" s="135">
        <v>6</v>
      </c>
      <c r="G186" s="135">
        <v>7</v>
      </c>
    </row>
    <row r="187" spans="1:9">
      <c r="B187" s="5">
        <v>3</v>
      </c>
      <c r="C187" s="137" t="s">
        <v>453</v>
      </c>
      <c r="D187" s="140">
        <v>1</v>
      </c>
      <c r="E187" s="135">
        <v>6</v>
      </c>
      <c r="F187" s="135">
        <v>8</v>
      </c>
      <c r="G187" s="135">
        <v>8</v>
      </c>
    </row>
    <row r="188" spans="1:9">
      <c r="B188" s="5">
        <v>4</v>
      </c>
      <c r="C188" s="137" t="str">
        <f>nmSolutionArea2&amp;" Offering"</f>
        <v>Business Applications Offering</v>
      </c>
      <c r="D188" s="140">
        <v>1</v>
      </c>
      <c r="E188" s="135">
        <v>7</v>
      </c>
      <c r="F188" s="135">
        <v>7</v>
      </c>
      <c r="G188" s="135">
        <v>10</v>
      </c>
    </row>
    <row r="189" spans="1:9">
      <c r="B189" s="5">
        <v>5</v>
      </c>
      <c r="C189" s="137" t="str">
        <f>nmProd3Offering1</f>
        <v>Doors OS</v>
      </c>
      <c r="D189" s="140">
        <v>1</v>
      </c>
      <c r="E189" s="135">
        <v>3</v>
      </c>
      <c r="F189" s="135">
        <v>3</v>
      </c>
      <c r="G189" s="135">
        <v>3</v>
      </c>
    </row>
    <row r="190" spans="1:9">
      <c r="B190" s="5">
        <v>6</v>
      </c>
      <c r="C190" s="137" t="str">
        <f>nmProd3Offering2</f>
        <v>Devices</v>
      </c>
      <c r="D190" s="140">
        <v>1</v>
      </c>
      <c r="E190" s="135">
        <v>2</v>
      </c>
      <c r="F190" s="135">
        <v>2</v>
      </c>
      <c r="G190" s="135">
        <v>2</v>
      </c>
    </row>
    <row r="191" spans="1:9">
      <c r="B191" s="5">
        <v>7</v>
      </c>
      <c r="C191" s="137" t="s">
        <v>2137</v>
      </c>
      <c r="D191" s="140">
        <v>1</v>
      </c>
      <c r="E191" s="135">
        <v>10</v>
      </c>
      <c r="F191" s="135">
        <v>5</v>
      </c>
      <c r="G191" s="135">
        <v>5</v>
      </c>
    </row>
    <row r="192" spans="1:9">
      <c r="B192" s="5">
        <v>8</v>
      </c>
      <c r="C192" s="137" t="s">
        <v>2897</v>
      </c>
      <c r="D192" s="140">
        <v>1</v>
      </c>
      <c r="E192" s="135">
        <v>5</v>
      </c>
      <c r="F192" s="135">
        <v>10</v>
      </c>
      <c r="G192" s="135">
        <v>6</v>
      </c>
    </row>
    <row r="193" spans="1:9">
      <c r="G193" s="6" t="s">
        <v>198</v>
      </c>
    </row>
    <row r="195" spans="1:9" s="413" customFormat="1">
      <c r="A195" s="412" t="str">
        <f>nmProd2&amp;" Market Model Drivers"</f>
        <v>Intelligent Cloud Market Model Drivers</v>
      </c>
      <c r="C195" s="412"/>
    </row>
    <row r="197" spans="1:9">
      <c r="B197" s="6" t="str">
        <f>nmProd2</f>
        <v>Intelligent Cloud</v>
      </c>
    </row>
    <row r="198" spans="1:9">
      <c r="C198" s="6" t="s">
        <v>116</v>
      </c>
      <c r="D198" s="5" t="s">
        <v>191</v>
      </c>
      <c r="E198" s="5" t="str">
        <f>nmSeg1</f>
        <v>Enterprise</v>
      </c>
      <c r="F198" s="5" t="str">
        <f>nmSeg2</f>
        <v>SMC</v>
      </c>
      <c r="I198" s="6" t="s">
        <v>195</v>
      </c>
    </row>
    <row r="199" spans="1:9">
      <c r="B199" s="5">
        <v>1</v>
      </c>
      <c r="C199" s="35" t="str">
        <f>nmPrice</f>
        <v>Price</v>
      </c>
      <c r="D199" s="140">
        <v>-1</v>
      </c>
      <c r="E199" s="135">
        <v>8</v>
      </c>
      <c r="F199" s="135">
        <v>9</v>
      </c>
    </row>
    <row r="200" spans="1:9">
      <c r="B200" s="5">
        <v>2</v>
      </c>
      <c r="C200" s="137" t="s">
        <v>450</v>
      </c>
      <c r="D200" s="140">
        <v>1</v>
      </c>
      <c r="E200" s="135">
        <v>10</v>
      </c>
      <c r="F200" s="135">
        <v>10</v>
      </c>
    </row>
    <row r="201" spans="1:9">
      <c r="B201" s="5">
        <v>3</v>
      </c>
      <c r="C201" s="137" t="s">
        <v>453</v>
      </c>
      <c r="D201" s="140">
        <v>1</v>
      </c>
      <c r="E201" s="135">
        <v>7</v>
      </c>
      <c r="F201" s="135">
        <v>8</v>
      </c>
    </row>
    <row r="202" spans="1:9">
      <c r="B202" s="5">
        <v>4</v>
      </c>
      <c r="C202" s="137" t="str">
        <f>nmSolutionArea3&amp;" Offering"</f>
        <v>Applications &amp; Infrastructure/Data &amp; AI Offering</v>
      </c>
      <c r="D202" s="140">
        <v>1</v>
      </c>
      <c r="E202" s="135">
        <v>5</v>
      </c>
      <c r="F202" s="135">
        <v>6</v>
      </c>
    </row>
    <row r="203" spans="1:9">
      <c r="B203" s="5">
        <v>5</v>
      </c>
      <c r="C203" s="137" t="s">
        <v>2137</v>
      </c>
      <c r="D203" s="140">
        <v>1</v>
      </c>
      <c r="E203" s="135">
        <v>9</v>
      </c>
      <c r="F203" s="135">
        <v>5</v>
      </c>
    </row>
    <row r="204" spans="1:9">
      <c r="B204" s="5">
        <v>6</v>
      </c>
      <c r="C204" s="137" t="s">
        <v>2897</v>
      </c>
      <c r="D204" s="140">
        <v>1</v>
      </c>
      <c r="E204" s="135">
        <v>6</v>
      </c>
      <c r="F204" s="135">
        <v>7</v>
      </c>
    </row>
    <row r="205" spans="1:9">
      <c r="G205" s="6" t="s">
        <v>1644</v>
      </c>
    </row>
    <row r="207" spans="1:9" s="413" customFormat="1">
      <c r="A207" s="412" t="str">
        <f>nmProd3&amp;" Market Model Drivers"</f>
        <v>Personal Computing Market Model Drivers</v>
      </c>
      <c r="C207" s="412"/>
    </row>
    <row r="209" spans="1:9">
      <c r="B209" s="6" t="str">
        <f>nmProd3</f>
        <v>Personal Computing</v>
      </c>
    </row>
    <row r="210" spans="1:9">
      <c r="C210" s="6" t="s">
        <v>116</v>
      </c>
      <c r="D210" s="5" t="s">
        <v>191</v>
      </c>
      <c r="E210" s="5" t="str">
        <f>nmSeg1</f>
        <v>Enterprise</v>
      </c>
      <c r="F210" s="5" t="str">
        <f>nmSeg2</f>
        <v>SMC</v>
      </c>
      <c r="G210" s="5" t="str">
        <f>nmSeg3</f>
        <v>Consumer</v>
      </c>
      <c r="I210" s="6" t="s">
        <v>195</v>
      </c>
    </row>
    <row r="211" spans="1:9">
      <c r="B211" s="5">
        <v>1</v>
      </c>
      <c r="C211" s="35" t="str">
        <f>nmPrice</f>
        <v>Price</v>
      </c>
      <c r="D211" s="140">
        <v>-1</v>
      </c>
      <c r="E211" s="135">
        <v>7</v>
      </c>
      <c r="F211" s="135">
        <v>10</v>
      </c>
      <c r="G211" s="135">
        <v>8</v>
      </c>
    </row>
    <row r="212" spans="1:9">
      <c r="B212" s="5">
        <v>2</v>
      </c>
      <c r="C212" s="137" t="s">
        <v>450</v>
      </c>
      <c r="D212" s="140">
        <v>1</v>
      </c>
      <c r="E212" s="135">
        <v>8</v>
      </c>
      <c r="F212" s="135">
        <v>5</v>
      </c>
      <c r="G212" s="135">
        <v>5</v>
      </c>
    </row>
    <row r="213" spans="1:9">
      <c r="B213" s="5">
        <v>3</v>
      </c>
      <c r="C213" s="137" t="s">
        <v>453</v>
      </c>
      <c r="D213" s="140">
        <v>1</v>
      </c>
      <c r="E213" s="135">
        <v>10</v>
      </c>
      <c r="F213" s="135">
        <v>6</v>
      </c>
      <c r="G213" s="135">
        <v>7</v>
      </c>
    </row>
    <row r="214" spans="1:9">
      <c r="B214" s="5">
        <v>4</v>
      </c>
      <c r="C214" s="137" t="str">
        <f>nmSolutionArea1&amp;" Offering"</f>
        <v>Modern Workplace Offering</v>
      </c>
      <c r="D214" s="140">
        <v>1</v>
      </c>
      <c r="E214" s="135">
        <v>6</v>
      </c>
      <c r="F214" s="135">
        <v>8</v>
      </c>
      <c r="G214" s="135">
        <v>10</v>
      </c>
    </row>
    <row r="215" spans="1:9">
      <c r="B215" s="5">
        <v>5</v>
      </c>
      <c r="C215" s="137" t="s">
        <v>2137</v>
      </c>
      <c r="D215" s="140">
        <v>1</v>
      </c>
      <c r="E215" s="135">
        <v>9</v>
      </c>
      <c r="F215" s="135">
        <v>4</v>
      </c>
      <c r="G215" s="135">
        <v>4</v>
      </c>
    </row>
    <row r="216" spans="1:9">
      <c r="B216" s="5">
        <v>6</v>
      </c>
      <c r="C216" s="137" t="s">
        <v>2897</v>
      </c>
      <c r="D216" s="140">
        <v>1</v>
      </c>
      <c r="E216" s="135">
        <v>4</v>
      </c>
      <c r="F216" s="135">
        <v>9</v>
      </c>
      <c r="G216" s="135">
        <v>6</v>
      </c>
    </row>
    <row r="217" spans="1:9">
      <c r="G217" s="6" t="s">
        <v>1645</v>
      </c>
    </row>
    <row r="219" spans="1:9" s="413" customFormat="1">
      <c r="A219" s="412" t="s">
        <v>1015</v>
      </c>
      <c r="C219" s="412"/>
    </row>
    <row r="221" spans="1:9">
      <c r="C221" s="6" t="s">
        <v>1003</v>
      </c>
      <c r="D221" s="5" t="s">
        <v>170</v>
      </c>
      <c r="E221" s="5" t="s">
        <v>1016</v>
      </c>
    </row>
    <row r="222" spans="1:9">
      <c r="C222" s="500">
        <v>0</v>
      </c>
      <c r="D222" s="135">
        <v>0</v>
      </c>
      <c r="E222" s="487">
        <v>0</v>
      </c>
    </row>
    <row r="223" spans="1:9">
      <c r="C223" s="500">
        <v>1</v>
      </c>
      <c r="D223" s="135">
        <v>25</v>
      </c>
      <c r="E223" s="486">
        <v>500000</v>
      </c>
    </row>
    <row r="224" spans="1:9">
      <c r="C224" s="500">
        <v>2</v>
      </c>
      <c r="D224" s="135">
        <v>50</v>
      </c>
      <c r="E224" s="487">
        <v>1000000</v>
      </c>
    </row>
    <row r="225" spans="1:5">
      <c r="C225" s="500">
        <v>3</v>
      </c>
      <c r="D225" s="135">
        <v>75</v>
      </c>
      <c r="E225" s="486">
        <v>1500000</v>
      </c>
    </row>
    <row r="226" spans="1:5">
      <c r="C226" s="500">
        <v>4</v>
      </c>
      <c r="D226" s="135">
        <v>100</v>
      </c>
      <c r="E226" s="487">
        <v>2000000</v>
      </c>
    </row>
    <row r="227" spans="1:5">
      <c r="C227" s="500">
        <v>5</v>
      </c>
      <c r="D227" s="135">
        <v>125</v>
      </c>
      <c r="E227" s="486">
        <v>2500000</v>
      </c>
    </row>
    <row r="228" spans="1:5">
      <c r="C228" s="6" t="s">
        <v>3229</v>
      </c>
      <c r="E228" s="5" t="s">
        <v>1017</v>
      </c>
    </row>
    <row r="230" spans="1:5" s="413" customFormat="1">
      <c r="A230" s="412" t="s">
        <v>1024</v>
      </c>
      <c r="C230" s="412"/>
    </row>
    <row r="232" spans="1:5">
      <c r="C232" s="6" t="s">
        <v>1003</v>
      </c>
      <c r="D232" s="5" t="s">
        <v>170</v>
      </c>
      <c r="E232" s="5" t="s">
        <v>1016</v>
      </c>
    </row>
    <row r="233" spans="1:5">
      <c r="C233" s="500">
        <v>0</v>
      </c>
      <c r="D233" s="135">
        <v>0</v>
      </c>
      <c r="E233" s="487"/>
    </row>
    <row r="234" spans="1:5">
      <c r="C234" s="500">
        <v>1</v>
      </c>
      <c r="D234" s="135">
        <v>15</v>
      </c>
      <c r="E234" s="486"/>
    </row>
    <row r="235" spans="1:5">
      <c r="C235" s="500">
        <v>2</v>
      </c>
      <c r="D235" s="135">
        <v>30</v>
      </c>
      <c r="E235" s="487"/>
    </row>
    <row r="236" spans="1:5">
      <c r="C236" s="500">
        <v>3</v>
      </c>
      <c r="D236" s="135">
        <v>45</v>
      </c>
      <c r="E236" s="486"/>
    </row>
    <row r="237" spans="1:5">
      <c r="C237" s="500">
        <v>4</v>
      </c>
      <c r="D237" s="135">
        <v>60</v>
      </c>
      <c r="E237" s="487"/>
    </row>
    <row r="238" spans="1:5">
      <c r="C238" s="500">
        <v>5</v>
      </c>
      <c r="D238" s="135">
        <v>75</v>
      </c>
      <c r="E238" s="486"/>
    </row>
    <row r="239" spans="1:5">
      <c r="E239" s="5" t="s">
        <v>1025</v>
      </c>
    </row>
    <row r="241" spans="1:5" s="413" customFormat="1">
      <c r="A241" s="412" t="s">
        <v>1035</v>
      </c>
      <c r="C241" s="412"/>
    </row>
    <row r="243" spans="1:5">
      <c r="C243" s="6" t="s">
        <v>1003</v>
      </c>
      <c r="D243" s="5" t="s">
        <v>170</v>
      </c>
      <c r="E243" s="5" t="s">
        <v>1016</v>
      </c>
    </row>
    <row r="244" spans="1:5">
      <c r="C244" s="500">
        <v>0</v>
      </c>
      <c r="D244" s="135">
        <v>0</v>
      </c>
      <c r="E244" s="487"/>
    </row>
    <row r="245" spans="1:5">
      <c r="C245" s="500">
        <v>1</v>
      </c>
      <c r="D245" s="135">
        <v>10</v>
      </c>
      <c r="E245" s="486"/>
    </row>
    <row r="246" spans="1:5">
      <c r="C246" s="500">
        <v>2</v>
      </c>
      <c r="D246" s="135">
        <v>20</v>
      </c>
      <c r="E246" s="487"/>
    </row>
    <row r="247" spans="1:5">
      <c r="C247" s="500">
        <v>3</v>
      </c>
      <c r="D247" s="135">
        <v>30</v>
      </c>
      <c r="E247" s="486"/>
    </row>
    <row r="248" spans="1:5">
      <c r="C248" s="500">
        <v>4</v>
      </c>
      <c r="D248" s="135">
        <v>40</v>
      </c>
      <c r="E248" s="487"/>
    </row>
    <row r="249" spans="1:5">
      <c r="C249" s="500">
        <v>5</v>
      </c>
      <c r="D249" s="135">
        <v>50</v>
      </c>
      <c r="E249" s="486"/>
    </row>
    <row r="250" spans="1:5">
      <c r="E250" s="5" t="s">
        <v>1036</v>
      </c>
    </row>
    <row r="252" spans="1:5" s="413" customFormat="1">
      <c r="A252" s="412" t="s">
        <v>1063</v>
      </c>
      <c r="C252" s="412"/>
    </row>
    <row r="254" spans="1:5">
      <c r="C254" s="6" t="s">
        <v>1003</v>
      </c>
      <c r="D254" s="5" t="s">
        <v>170</v>
      </c>
      <c r="E254" s="5" t="s">
        <v>1016</v>
      </c>
    </row>
    <row r="255" spans="1:5">
      <c r="C255" s="500">
        <v>0</v>
      </c>
      <c r="D255" s="135">
        <v>0</v>
      </c>
      <c r="E255" s="487">
        <v>0</v>
      </c>
    </row>
    <row r="256" spans="1:5">
      <c r="C256" s="500">
        <v>1</v>
      </c>
      <c r="D256" s="135">
        <v>10</v>
      </c>
      <c r="E256" s="486">
        <v>100000</v>
      </c>
    </row>
    <row r="257" spans="1:7">
      <c r="C257" s="500">
        <v>2</v>
      </c>
      <c r="D257" s="135">
        <v>20</v>
      </c>
      <c r="E257" s="487">
        <v>200000</v>
      </c>
      <c r="G257" s="501"/>
    </row>
    <row r="258" spans="1:7">
      <c r="C258" s="500">
        <v>3</v>
      </c>
      <c r="D258" s="135">
        <v>30</v>
      </c>
      <c r="E258" s="486">
        <v>300000</v>
      </c>
    </row>
    <row r="259" spans="1:7">
      <c r="C259" s="500">
        <v>4</v>
      </c>
      <c r="D259" s="135">
        <v>40</v>
      </c>
      <c r="E259" s="487">
        <v>400000</v>
      </c>
    </row>
    <row r="260" spans="1:7">
      <c r="C260" s="500">
        <v>5</v>
      </c>
      <c r="D260" s="135">
        <v>50</v>
      </c>
      <c r="E260" s="486">
        <v>500000</v>
      </c>
    </row>
    <row r="261" spans="1:7">
      <c r="E261" s="5" t="s">
        <v>1064</v>
      </c>
    </row>
    <row r="263" spans="1:7" s="413" customFormat="1">
      <c r="A263" s="412" t="s">
        <v>1218</v>
      </c>
      <c r="C263" s="412"/>
    </row>
    <row r="265" spans="1:7">
      <c r="C265" s="6" t="s">
        <v>1003</v>
      </c>
      <c r="D265" s="5" t="s">
        <v>1219</v>
      </c>
    </row>
    <row r="266" spans="1:7">
      <c r="C266" s="500">
        <v>0</v>
      </c>
      <c r="D266" s="135" t="str">
        <f>nmSkill1</f>
        <v>Technical Expertise</v>
      </c>
    </row>
    <row r="267" spans="1:7">
      <c r="C267" s="500">
        <v>1</v>
      </c>
      <c r="D267" s="135" t="str">
        <f>nmSkill2</f>
        <v>Consultative Skills</v>
      </c>
    </row>
    <row r="268" spans="1:7">
      <c r="C268" s="500">
        <v>2</v>
      </c>
      <c r="D268" s="135" t="str">
        <f>nmSkill3</f>
        <v>Industry Expertise</v>
      </c>
      <c r="G268" s="501"/>
    </row>
    <row r="269" spans="1:7">
      <c r="D269" s="5" t="s">
        <v>1220</v>
      </c>
    </row>
    <row r="271" spans="1:7" s="413" customFormat="1">
      <c r="A271" s="412" t="s">
        <v>1222</v>
      </c>
      <c r="C271" s="412"/>
    </row>
    <row r="273" spans="1:7">
      <c r="C273" s="6" t="s">
        <v>1003</v>
      </c>
      <c r="D273" s="5" t="s">
        <v>1219</v>
      </c>
      <c r="E273" s="5" t="s">
        <v>352</v>
      </c>
    </row>
    <row r="274" spans="1:7">
      <c r="C274" s="500">
        <v>0</v>
      </c>
      <c r="D274" s="139">
        <v>0.9</v>
      </c>
      <c r="E274" s="139" t="s">
        <v>2820</v>
      </c>
    </row>
    <row r="275" spans="1:7">
      <c r="C275" s="500">
        <v>1</v>
      </c>
      <c r="D275" s="139">
        <v>0.95</v>
      </c>
      <c r="E275" s="139" t="s">
        <v>947</v>
      </c>
    </row>
    <row r="276" spans="1:7">
      <c r="C276" s="500">
        <v>2</v>
      </c>
      <c r="D276" s="139">
        <v>1</v>
      </c>
      <c r="E276" s="139" t="s">
        <v>2819</v>
      </c>
      <c r="G276" s="501"/>
    </row>
    <row r="277" spans="1:7">
      <c r="C277" s="500">
        <v>3</v>
      </c>
      <c r="D277" s="139">
        <v>1.05</v>
      </c>
      <c r="E277" s="139" t="s">
        <v>949</v>
      </c>
      <c r="G277" s="501"/>
    </row>
    <row r="278" spans="1:7">
      <c r="C278" s="500">
        <v>4</v>
      </c>
      <c r="D278" s="139">
        <v>1.1000000000000001</v>
      </c>
      <c r="E278" s="139" t="s">
        <v>2821</v>
      </c>
      <c r="G278" s="501"/>
    </row>
    <row r="279" spans="1:7">
      <c r="C279" s="6" t="s">
        <v>3236</v>
      </c>
      <c r="D279" s="5" t="s">
        <v>1223</v>
      </c>
    </row>
    <row r="280" spans="1:7" ht="12.6" customHeight="1"/>
    <row r="281" spans="1:7" s="413" customFormat="1">
      <c r="A281" s="412" t="s">
        <v>3231</v>
      </c>
      <c r="C281" s="412"/>
    </row>
    <row r="283" spans="1:7">
      <c r="C283" s="139" t="s">
        <v>2351</v>
      </c>
      <c r="E283" s="139" t="s">
        <v>2432</v>
      </c>
      <c r="G283" s="139" t="s">
        <v>3049</v>
      </c>
    </row>
    <row r="284" spans="1:7">
      <c r="C284" s="279" t="s">
        <v>3048</v>
      </c>
      <c r="E284" s="279" t="s">
        <v>2433</v>
      </c>
      <c r="G284" s="279" t="s">
        <v>3050</v>
      </c>
    </row>
    <row r="285" spans="1:7">
      <c r="C285" s="6" t="s">
        <v>3232</v>
      </c>
      <c r="E285" s="279" t="s">
        <v>3235</v>
      </c>
      <c r="G285" s="6" t="s">
        <v>3234</v>
      </c>
    </row>
    <row r="286" spans="1:7">
      <c r="E286" s="6" t="s">
        <v>3233</v>
      </c>
    </row>
    <row r="288" spans="1:7">
      <c r="C288" s="139">
        <v>0</v>
      </c>
      <c r="E288" s="139">
        <v>0</v>
      </c>
      <c r="G288" s="139">
        <v>0</v>
      </c>
    </row>
    <row r="289" spans="3:7">
      <c r="C289" s="139">
        <v>0.01</v>
      </c>
      <c r="E289" s="139">
        <v>0.05</v>
      </c>
      <c r="G289" s="139">
        <v>0.01</v>
      </c>
    </row>
    <row r="290" spans="3:7">
      <c r="C290" s="139">
        <v>0.02</v>
      </c>
      <c r="E290" s="139">
        <v>0.1</v>
      </c>
      <c r="G290" s="139">
        <v>0.02</v>
      </c>
    </row>
    <row r="291" spans="3:7">
      <c r="C291" s="139">
        <v>0.03</v>
      </c>
      <c r="E291" s="139">
        <v>0.15</v>
      </c>
      <c r="G291" s="139">
        <v>0.03</v>
      </c>
    </row>
    <row r="292" spans="3:7">
      <c r="C292" s="139">
        <v>0.04</v>
      </c>
      <c r="E292" s="139">
        <v>0.2</v>
      </c>
      <c r="G292" s="139">
        <v>0.04</v>
      </c>
    </row>
    <row r="293" spans="3:7">
      <c r="C293" s="139">
        <v>0.05</v>
      </c>
      <c r="E293" s="139">
        <v>0.25</v>
      </c>
      <c r="G293" s="139">
        <v>0.05</v>
      </c>
    </row>
    <row r="294" spans="3:7">
      <c r="C294" s="139">
        <v>0.06</v>
      </c>
      <c r="E294" s="139">
        <v>0.3</v>
      </c>
      <c r="G294" s="139">
        <v>0.06</v>
      </c>
    </row>
    <row r="295" spans="3:7">
      <c r="C295" s="139">
        <v>7.0000000000000007E-2</v>
      </c>
      <c r="E295" s="139">
        <v>0.35</v>
      </c>
      <c r="G295" s="139">
        <v>7.0000000000000007E-2</v>
      </c>
    </row>
    <row r="296" spans="3:7">
      <c r="C296" s="139">
        <v>0.08</v>
      </c>
      <c r="E296" s="139">
        <v>0.4</v>
      </c>
      <c r="G296" s="139">
        <v>0.08</v>
      </c>
    </row>
    <row r="297" spans="3:7">
      <c r="C297" s="139">
        <v>0.09</v>
      </c>
      <c r="E297" s="139">
        <v>0.45</v>
      </c>
      <c r="G297" s="139">
        <v>0.09</v>
      </c>
    </row>
    <row r="298" spans="3:7">
      <c r="C298" s="139">
        <v>0.1</v>
      </c>
      <c r="E298" s="139">
        <v>0.5</v>
      </c>
      <c r="G298" s="139">
        <v>0.1</v>
      </c>
    </row>
    <row r="299" spans="3:7">
      <c r="C299" s="139">
        <v>0.11</v>
      </c>
      <c r="E299" s="139">
        <v>0.55000000000000004</v>
      </c>
      <c r="G299" s="139">
        <v>0.11</v>
      </c>
    </row>
    <row r="300" spans="3:7">
      <c r="C300" s="139">
        <v>0.12</v>
      </c>
      <c r="E300" s="139">
        <v>0.6</v>
      </c>
      <c r="G300" s="139">
        <v>0.12</v>
      </c>
    </row>
    <row r="301" spans="3:7">
      <c r="C301" s="139">
        <v>0.13</v>
      </c>
      <c r="E301" s="139">
        <v>0.65</v>
      </c>
      <c r="G301" s="139">
        <v>0.13</v>
      </c>
    </row>
    <row r="302" spans="3:7">
      <c r="C302" s="139">
        <v>0.14000000000000001</v>
      </c>
      <c r="E302" s="139">
        <v>0.7</v>
      </c>
      <c r="G302" s="139">
        <v>0.14000000000000001</v>
      </c>
    </row>
    <row r="303" spans="3:7">
      <c r="C303" s="139">
        <v>0.15</v>
      </c>
      <c r="E303" s="139">
        <v>0.75</v>
      </c>
      <c r="G303" s="139">
        <v>0.15</v>
      </c>
    </row>
    <row r="304" spans="3:7">
      <c r="C304" s="139">
        <v>0.16</v>
      </c>
      <c r="E304" s="139">
        <v>0.8</v>
      </c>
      <c r="G304" s="6" t="s">
        <v>3239</v>
      </c>
    </row>
    <row r="305" spans="3:5">
      <c r="C305" s="139">
        <v>0.17</v>
      </c>
      <c r="E305" s="139">
        <v>0.85</v>
      </c>
    </row>
    <row r="306" spans="3:5">
      <c r="C306" s="139">
        <v>0.18</v>
      </c>
      <c r="E306" s="139">
        <v>0.9</v>
      </c>
    </row>
    <row r="307" spans="3:5">
      <c r="C307" s="139">
        <v>0.19</v>
      </c>
      <c r="E307" s="139">
        <v>0.95</v>
      </c>
    </row>
    <row r="308" spans="3:5">
      <c r="C308" s="139">
        <v>0.2</v>
      </c>
      <c r="E308" s="139">
        <v>1</v>
      </c>
    </row>
    <row r="309" spans="3:5">
      <c r="C309" s="139">
        <v>0.21</v>
      </c>
      <c r="E309" s="6" t="s">
        <v>3237</v>
      </c>
    </row>
    <row r="310" spans="3:5">
      <c r="C310" s="139">
        <v>0.22</v>
      </c>
    </row>
    <row r="311" spans="3:5">
      <c r="C311" s="139">
        <v>0.23</v>
      </c>
    </row>
    <row r="312" spans="3:5">
      <c r="C312" s="139">
        <v>0.24</v>
      </c>
    </row>
    <row r="313" spans="3:5">
      <c r="C313" s="139">
        <v>0.25</v>
      </c>
    </row>
    <row r="314" spans="3:5">
      <c r="C314" s="139">
        <v>0.26</v>
      </c>
    </row>
    <row r="315" spans="3:5">
      <c r="C315" s="139">
        <v>0.27</v>
      </c>
    </row>
    <row r="316" spans="3:5">
      <c r="C316" s="139">
        <v>0.28000000000000003</v>
      </c>
    </row>
    <row r="317" spans="3:5">
      <c r="C317" s="139">
        <v>0.28999999999999998</v>
      </c>
    </row>
    <row r="318" spans="3:5">
      <c r="C318" s="139">
        <v>0.3</v>
      </c>
    </row>
    <row r="319" spans="3:5">
      <c r="C319" s="139">
        <v>0.31</v>
      </c>
    </row>
    <row r="320" spans="3:5">
      <c r="C320" s="139">
        <v>0.32</v>
      </c>
    </row>
    <row r="321" spans="3:3">
      <c r="C321" s="139">
        <v>0.33</v>
      </c>
    </row>
    <row r="322" spans="3:3">
      <c r="C322" s="139">
        <v>0.34</v>
      </c>
    </row>
    <row r="323" spans="3:3">
      <c r="C323" s="139">
        <v>0.35</v>
      </c>
    </row>
    <row r="324" spans="3:3">
      <c r="C324" s="139">
        <v>0.36</v>
      </c>
    </row>
    <row r="325" spans="3:3">
      <c r="C325" s="139">
        <v>0.37</v>
      </c>
    </row>
    <row r="326" spans="3:3">
      <c r="C326" s="139">
        <v>0.38</v>
      </c>
    </row>
    <row r="327" spans="3:3">
      <c r="C327" s="139">
        <v>0.39</v>
      </c>
    </row>
    <row r="328" spans="3:3">
      <c r="C328" s="139">
        <v>0.4</v>
      </c>
    </row>
    <row r="329" spans="3:3">
      <c r="C329" s="139">
        <v>0.41</v>
      </c>
    </row>
    <row r="330" spans="3:3">
      <c r="C330" s="139">
        <v>0.42</v>
      </c>
    </row>
    <row r="331" spans="3:3">
      <c r="C331" s="139">
        <v>0.43</v>
      </c>
    </row>
    <row r="332" spans="3:3">
      <c r="C332" s="139">
        <v>0.44</v>
      </c>
    </row>
    <row r="333" spans="3:3">
      <c r="C333" s="139">
        <v>0.45</v>
      </c>
    </row>
    <row r="334" spans="3:3">
      <c r="C334" s="139">
        <v>0.46</v>
      </c>
    </row>
    <row r="335" spans="3:3">
      <c r="C335" s="139">
        <v>0.47</v>
      </c>
    </row>
    <row r="336" spans="3:3">
      <c r="C336" s="139">
        <v>0.48</v>
      </c>
    </row>
    <row r="337" spans="3:9">
      <c r="C337" s="139">
        <v>0.49</v>
      </c>
    </row>
    <row r="338" spans="3:9">
      <c r="C338" s="139">
        <v>0.5</v>
      </c>
    </row>
    <row r="339" spans="3:9">
      <c r="C339" s="6" t="s">
        <v>3238</v>
      </c>
    </row>
    <row r="341" spans="3:9">
      <c r="C341" s="279">
        <v>0</v>
      </c>
      <c r="E341" s="279">
        <v>0</v>
      </c>
      <c r="G341" s="487">
        <v>0</v>
      </c>
      <c r="I341" s="279">
        <v>-5</v>
      </c>
    </row>
    <row r="342" spans="3:9">
      <c r="C342" s="279">
        <v>5</v>
      </c>
      <c r="E342" s="279">
        <v>5</v>
      </c>
      <c r="G342" s="487">
        <v>250000</v>
      </c>
      <c r="I342" s="279">
        <v>-4</v>
      </c>
    </row>
    <row r="343" spans="3:9">
      <c r="C343" s="279">
        <v>10</v>
      </c>
      <c r="E343" s="279">
        <v>10</v>
      </c>
      <c r="G343" s="487">
        <v>500000</v>
      </c>
      <c r="I343" s="279">
        <v>-3</v>
      </c>
    </row>
    <row r="344" spans="3:9">
      <c r="C344" s="279">
        <v>15</v>
      </c>
      <c r="E344" s="279">
        <v>15</v>
      </c>
      <c r="G344" s="487">
        <v>750000</v>
      </c>
      <c r="I344" s="279">
        <v>-2</v>
      </c>
    </row>
    <row r="345" spans="3:9">
      <c r="C345" s="279">
        <v>20</v>
      </c>
      <c r="E345" s="279">
        <v>20</v>
      </c>
      <c r="G345" s="487">
        <v>1000000</v>
      </c>
      <c r="I345" s="279">
        <v>-1</v>
      </c>
    </row>
    <row r="346" spans="3:9">
      <c r="C346" s="279">
        <v>25</v>
      </c>
      <c r="E346" s="279">
        <v>25</v>
      </c>
      <c r="G346" s="487">
        <v>1250000</v>
      </c>
      <c r="I346" s="279">
        <v>0</v>
      </c>
    </row>
    <row r="347" spans="3:9">
      <c r="C347" s="279">
        <v>30</v>
      </c>
      <c r="E347" s="279">
        <v>30</v>
      </c>
      <c r="G347" s="487">
        <v>1500000</v>
      </c>
      <c r="I347" s="279">
        <v>1</v>
      </c>
    </row>
    <row r="348" spans="3:9">
      <c r="C348" s="279">
        <v>35</v>
      </c>
      <c r="E348" s="279">
        <v>35</v>
      </c>
      <c r="G348" s="487">
        <v>1750000</v>
      </c>
      <c r="I348" s="279">
        <v>2</v>
      </c>
    </row>
    <row r="349" spans="3:9">
      <c r="C349" s="279">
        <v>40</v>
      </c>
      <c r="E349" s="279">
        <v>40</v>
      </c>
      <c r="G349" s="487">
        <v>2000000</v>
      </c>
      <c r="I349" s="279">
        <v>3</v>
      </c>
    </row>
    <row r="350" spans="3:9">
      <c r="C350" s="279">
        <v>45</v>
      </c>
      <c r="E350" s="279">
        <v>45</v>
      </c>
      <c r="G350" s="487">
        <v>2250000</v>
      </c>
      <c r="I350" s="279">
        <v>4</v>
      </c>
    </row>
    <row r="351" spans="3:9">
      <c r="C351" s="279">
        <v>50</v>
      </c>
      <c r="E351" s="279">
        <v>50</v>
      </c>
      <c r="G351" s="487">
        <v>2500000</v>
      </c>
      <c r="I351" s="279">
        <v>5</v>
      </c>
    </row>
    <row r="352" spans="3:9">
      <c r="C352" s="279">
        <v>55</v>
      </c>
      <c r="E352" s="279">
        <v>55</v>
      </c>
      <c r="G352" s="487">
        <v>2750000</v>
      </c>
      <c r="I352" s="279">
        <v>6</v>
      </c>
    </row>
    <row r="353" spans="3:9">
      <c r="C353" s="279">
        <v>60</v>
      </c>
      <c r="E353" s="279">
        <v>60</v>
      </c>
      <c r="G353" s="487">
        <v>3000000</v>
      </c>
      <c r="I353" s="279">
        <v>7</v>
      </c>
    </row>
    <row r="354" spans="3:9">
      <c r="C354" s="279">
        <v>65</v>
      </c>
      <c r="E354" s="279">
        <v>65</v>
      </c>
      <c r="G354" s="487">
        <v>3250000</v>
      </c>
      <c r="I354" s="279">
        <v>8</v>
      </c>
    </row>
    <row r="355" spans="3:9">
      <c r="C355" s="279">
        <v>70</v>
      </c>
      <c r="E355" s="279">
        <v>70</v>
      </c>
      <c r="G355" s="487">
        <v>3500000</v>
      </c>
      <c r="I355" s="279">
        <v>9</v>
      </c>
    </row>
    <row r="356" spans="3:9">
      <c r="C356" s="279">
        <v>75</v>
      </c>
      <c r="E356" s="279">
        <v>75</v>
      </c>
      <c r="G356" s="487">
        <v>3750000</v>
      </c>
      <c r="I356" s="279">
        <v>10</v>
      </c>
    </row>
    <row r="357" spans="3:9">
      <c r="C357" s="279">
        <v>80</v>
      </c>
      <c r="E357" s="279">
        <v>80</v>
      </c>
      <c r="G357" s="487">
        <v>4000000</v>
      </c>
      <c r="I357" s="5" t="s">
        <v>3243</v>
      </c>
    </row>
    <row r="358" spans="3:9">
      <c r="C358" s="279">
        <v>85</v>
      </c>
      <c r="E358" s="279">
        <v>85</v>
      </c>
      <c r="G358" s="487">
        <v>4250000</v>
      </c>
    </row>
    <row r="359" spans="3:9">
      <c r="C359" s="279">
        <v>90</v>
      </c>
      <c r="E359" s="279">
        <v>90</v>
      </c>
      <c r="G359" s="487">
        <v>4500000</v>
      </c>
    </row>
    <row r="360" spans="3:9">
      <c r="C360" s="279">
        <v>95</v>
      </c>
      <c r="E360" s="279">
        <v>95</v>
      </c>
      <c r="G360" s="487">
        <v>4750000</v>
      </c>
    </row>
    <row r="361" spans="3:9">
      <c r="C361" s="279">
        <v>100</v>
      </c>
      <c r="E361" s="279">
        <v>100</v>
      </c>
      <c r="G361" s="487">
        <v>5000000</v>
      </c>
    </row>
    <row r="362" spans="3:9">
      <c r="C362" s="279">
        <v>105</v>
      </c>
      <c r="E362" s="5" t="s">
        <v>3241</v>
      </c>
      <c r="G362" s="487">
        <v>5250000</v>
      </c>
    </row>
    <row r="363" spans="3:9">
      <c r="C363" s="279">
        <v>110</v>
      </c>
      <c r="G363" s="487">
        <v>5500000</v>
      </c>
    </row>
    <row r="364" spans="3:9">
      <c r="C364" s="279">
        <v>115</v>
      </c>
      <c r="G364" s="487">
        <v>5750000</v>
      </c>
    </row>
    <row r="365" spans="3:9">
      <c r="C365" s="279">
        <v>120</v>
      </c>
      <c r="G365" s="487">
        <v>6000000</v>
      </c>
    </row>
    <row r="366" spans="3:9">
      <c r="C366" s="279">
        <v>125</v>
      </c>
      <c r="G366" s="487">
        <v>6250000</v>
      </c>
    </row>
    <row r="367" spans="3:9">
      <c r="C367" s="279">
        <v>130</v>
      </c>
      <c r="G367" s="487">
        <v>6500000</v>
      </c>
    </row>
    <row r="368" spans="3:9">
      <c r="C368" s="279">
        <v>135</v>
      </c>
      <c r="G368" s="487">
        <v>6750000</v>
      </c>
    </row>
    <row r="369" spans="3:7">
      <c r="C369" s="279">
        <v>140</v>
      </c>
      <c r="G369" s="487">
        <v>7000000</v>
      </c>
    </row>
    <row r="370" spans="3:7">
      <c r="C370" s="279">
        <v>145</v>
      </c>
      <c r="G370" s="487">
        <v>7250000</v>
      </c>
    </row>
    <row r="371" spans="3:7">
      <c r="C371" s="279">
        <v>150</v>
      </c>
      <c r="G371" s="487">
        <v>7500000</v>
      </c>
    </row>
    <row r="372" spans="3:7">
      <c r="C372" s="279">
        <v>155</v>
      </c>
      <c r="G372" s="487">
        <v>7750000</v>
      </c>
    </row>
    <row r="373" spans="3:7">
      <c r="C373" s="279">
        <v>160</v>
      </c>
      <c r="G373" s="487">
        <v>8000000</v>
      </c>
    </row>
    <row r="374" spans="3:7">
      <c r="C374" s="279">
        <v>165</v>
      </c>
      <c r="G374" s="487">
        <v>8250000</v>
      </c>
    </row>
    <row r="375" spans="3:7">
      <c r="C375" s="279">
        <v>170</v>
      </c>
      <c r="G375" s="487">
        <v>8500000</v>
      </c>
    </row>
    <row r="376" spans="3:7">
      <c r="C376" s="279">
        <v>175</v>
      </c>
      <c r="G376" s="487">
        <v>8750000</v>
      </c>
    </row>
    <row r="377" spans="3:7">
      <c r="C377" s="279">
        <v>180</v>
      </c>
      <c r="G377" s="487">
        <v>9000000</v>
      </c>
    </row>
    <row r="378" spans="3:7">
      <c r="C378" s="279">
        <v>185</v>
      </c>
      <c r="G378" s="487">
        <v>9250000</v>
      </c>
    </row>
    <row r="379" spans="3:7">
      <c r="C379" s="279">
        <v>190</v>
      </c>
      <c r="G379" s="487">
        <v>9500000</v>
      </c>
    </row>
    <row r="380" spans="3:7">
      <c r="C380" s="279">
        <v>195</v>
      </c>
      <c r="G380" s="487">
        <v>9750000</v>
      </c>
    </row>
    <row r="381" spans="3:7">
      <c r="C381" s="279">
        <v>200</v>
      </c>
      <c r="G381" s="487">
        <v>10000000</v>
      </c>
    </row>
    <row r="382" spans="3:7">
      <c r="C382" s="279">
        <v>205</v>
      </c>
      <c r="G382" s="5" t="s">
        <v>3242</v>
      </c>
    </row>
    <row r="383" spans="3:7">
      <c r="C383" s="279">
        <v>210</v>
      </c>
    </row>
    <row r="384" spans="3:7">
      <c r="C384" s="279">
        <v>215</v>
      </c>
    </row>
    <row r="385" spans="3:3">
      <c r="C385" s="279">
        <v>220</v>
      </c>
    </row>
    <row r="386" spans="3:3">
      <c r="C386" s="279">
        <v>225</v>
      </c>
    </row>
    <row r="387" spans="3:3">
      <c r="C387" s="279">
        <v>230</v>
      </c>
    </row>
    <row r="388" spans="3:3">
      <c r="C388" s="279">
        <v>235</v>
      </c>
    </row>
    <row r="389" spans="3:3">
      <c r="C389" s="279">
        <v>240</v>
      </c>
    </row>
    <row r="390" spans="3:3">
      <c r="C390" s="279">
        <v>245</v>
      </c>
    </row>
    <row r="391" spans="3:3">
      <c r="C391" s="279">
        <v>250</v>
      </c>
    </row>
    <row r="392" spans="3:3">
      <c r="C392" s="279">
        <v>255</v>
      </c>
    </row>
    <row r="393" spans="3:3">
      <c r="C393" s="279">
        <v>260</v>
      </c>
    </row>
    <row r="394" spans="3:3">
      <c r="C394" s="279">
        <v>265</v>
      </c>
    </row>
    <row r="395" spans="3:3">
      <c r="C395" s="279">
        <v>270</v>
      </c>
    </row>
    <row r="396" spans="3:3">
      <c r="C396" s="279">
        <v>275</v>
      </c>
    </row>
    <row r="397" spans="3:3">
      <c r="C397" s="279">
        <v>280</v>
      </c>
    </row>
    <row r="398" spans="3:3">
      <c r="C398" s="279">
        <v>285</v>
      </c>
    </row>
    <row r="399" spans="3:3">
      <c r="C399" s="279">
        <v>290</v>
      </c>
    </row>
    <row r="400" spans="3:3">
      <c r="C400" s="279">
        <v>295</v>
      </c>
    </row>
    <row r="401" spans="3:3">
      <c r="C401" s="279">
        <v>300</v>
      </c>
    </row>
    <row r="402" spans="3:3">
      <c r="C402" s="279">
        <v>305</v>
      </c>
    </row>
    <row r="403" spans="3:3">
      <c r="C403" s="279">
        <v>310</v>
      </c>
    </row>
    <row r="404" spans="3:3">
      <c r="C404" s="279">
        <v>315</v>
      </c>
    </row>
    <row r="405" spans="3:3">
      <c r="C405" s="279">
        <v>320</v>
      </c>
    </row>
    <row r="406" spans="3:3">
      <c r="C406" s="279">
        <v>325</v>
      </c>
    </row>
    <row r="407" spans="3:3">
      <c r="C407" s="279">
        <v>330</v>
      </c>
    </row>
    <row r="408" spans="3:3">
      <c r="C408" s="279">
        <v>335</v>
      </c>
    </row>
    <row r="409" spans="3:3">
      <c r="C409" s="279">
        <v>340</v>
      </c>
    </row>
    <row r="410" spans="3:3">
      <c r="C410" s="279">
        <v>345</v>
      </c>
    </row>
    <row r="411" spans="3:3">
      <c r="C411" s="279">
        <v>350</v>
      </c>
    </row>
    <row r="412" spans="3:3">
      <c r="C412" s="279">
        <v>355</v>
      </c>
    </row>
    <row r="413" spans="3:3">
      <c r="C413" s="279">
        <v>360</v>
      </c>
    </row>
    <row r="414" spans="3:3">
      <c r="C414" s="279">
        <v>365</v>
      </c>
    </row>
    <row r="415" spans="3:3">
      <c r="C415" s="279">
        <v>370</v>
      </c>
    </row>
    <row r="416" spans="3:3">
      <c r="C416" s="279">
        <v>375</v>
      </c>
    </row>
    <row r="417" spans="3:3">
      <c r="C417" s="279">
        <v>380</v>
      </c>
    </row>
    <row r="418" spans="3:3">
      <c r="C418" s="279">
        <v>385</v>
      </c>
    </row>
    <row r="419" spans="3:3">
      <c r="C419" s="279">
        <v>390</v>
      </c>
    </row>
    <row r="420" spans="3:3">
      <c r="C420" s="279">
        <v>395</v>
      </c>
    </row>
    <row r="421" spans="3:3">
      <c r="C421" s="279">
        <v>400</v>
      </c>
    </row>
    <row r="422" spans="3:3">
      <c r="C422" s="279">
        <v>405</v>
      </c>
    </row>
    <row r="423" spans="3:3">
      <c r="C423" s="279">
        <v>410</v>
      </c>
    </row>
    <row r="424" spans="3:3">
      <c r="C424" s="279">
        <v>415</v>
      </c>
    </row>
    <row r="425" spans="3:3">
      <c r="C425" s="279">
        <v>420</v>
      </c>
    </row>
    <row r="426" spans="3:3">
      <c r="C426" s="279">
        <v>425</v>
      </c>
    </row>
    <row r="427" spans="3:3">
      <c r="C427" s="279">
        <v>430</v>
      </c>
    </row>
    <row r="428" spans="3:3">
      <c r="C428" s="279">
        <v>435</v>
      </c>
    </row>
    <row r="429" spans="3:3">
      <c r="C429" s="279">
        <v>440</v>
      </c>
    </row>
    <row r="430" spans="3:3">
      <c r="C430" s="279">
        <v>445</v>
      </c>
    </row>
    <row r="431" spans="3:3">
      <c r="C431" s="279">
        <v>450</v>
      </c>
    </row>
    <row r="432" spans="3:3">
      <c r="C432" s="279">
        <v>455</v>
      </c>
    </row>
    <row r="433" spans="3:3">
      <c r="C433" s="279">
        <v>460</v>
      </c>
    </row>
    <row r="434" spans="3:3">
      <c r="C434" s="279">
        <v>465</v>
      </c>
    </row>
    <row r="435" spans="3:3">
      <c r="C435" s="279">
        <v>470</v>
      </c>
    </row>
    <row r="436" spans="3:3">
      <c r="C436" s="279">
        <v>475</v>
      </c>
    </row>
    <row r="437" spans="3:3">
      <c r="C437" s="279">
        <v>480</v>
      </c>
    </row>
    <row r="438" spans="3:3">
      <c r="C438" s="279">
        <v>485</v>
      </c>
    </row>
    <row r="439" spans="3:3">
      <c r="C439" s="279">
        <v>490</v>
      </c>
    </row>
    <row r="440" spans="3:3">
      <c r="C440" s="279">
        <v>495</v>
      </c>
    </row>
    <row r="441" spans="3:3">
      <c r="C441" s="279">
        <v>500</v>
      </c>
    </row>
    <row r="442" spans="3:3">
      <c r="C442" s="6" t="s">
        <v>3240</v>
      </c>
    </row>
  </sheetData>
  <pageMargins left="0.7" right="0.7" top="0.75" bottom="0.75" header="0.3" footer="0.3"/>
  <pageSetup orientation="portrait" horizontalDpi="4294967292"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H103"/>
  <sheetViews>
    <sheetView topLeftCell="A49" workbookViewId="0">
      <selection activeCell="D59" sqref="D59"/>
    </sheetView>
  </sheetViews>
  <sheetFormatPr defaultColWidth="8.81640625" defaultRowHeight="13.8"/>
  <cols>
    <col min="1" max="1" width="2.7265625" style="906" customWidth="1"/>
    <col min="2" max="2" width="2.7265625" style="175" customWidth="1"/>
    <col min="3" max="3" width="24.7265625" style="173" customWidth="1"/>
    <col min="4" max="7" width="12.7265625" style="175" customWidth="1"/>
    <col min="8" max="16384" width="8.81640625" style="175"/>
  </cols>
  <sheetData>
    <row r="1" spans="1:8">
      <c r="D1" s="177"/>
      <c r="E1" s="177"/>
      <c r="F1" s="177"/>
      <c r="G1" s="177"/>
      <c r="H1" s="173"/>
    </row>
    <row r="2" spans="1:8" s="174" customFormat="1">
      <c r="A2" s="8" t="s">
        <v>494</v>
      </c>
      <c r="C2" s="172"/>
    </row>
    <row r="4" spans="1:8">
      <c r="D4" s="175" t="str">
        <f>nmProd1</f>
        <v>Productivity &amp; Business</v>
      </c>
      <c r="E4" s="175" t="str">
        <f>nmProd2</f>
        <v>Intelligent Cloud</v>
      </c>
      <c r="F4" s="175" t="str">
        <f>nmProd3</f>
        <v>Personal Computing</v>
      </c>
    </row>
    <row r="5" spans="1:8">
      <c r="C5" s="173" t="s">
        <v>2870</v>
      </c>
      <c r="D5" s="176">
        <f>INDEX(finPNLProd1Seg1NewRev,xxIndexTeam)/1000</f>
        <v>16441.726950000018</v>
      </c>
      <c r="E5" s="176">
        <f>INDEX(finPNLProd2Seg1NewRev,xxIndexTeam)/1000</f>
        <v>40773.665790000014</v>
      </c>
      <c r="F5" s="176">
        <f>INDEX(finPNLProd3Seg1TotalRev,xxIndexTeam)/1000</f>
        <v>117995.01120000002</v>
      </c>
      <c r="G5" s="176"/>
    </row>
    <row r="6" spans="1:8">
      <c r="C6" s="173" t="s">
        <v>2871</v>
      </c>
      <c r="D6" s="176">
        <f>INDEX(finPNLProd1Seg1NonCloudRev,xxIndexTeam)/1000</f>
        <v>42636</v>
      </c>
      <c r="E6" s="176">
        <v>0</v>
      </c>
      <c r="F6" s="176"/>
      <c r="G6" s="176"/>
    </row>
    <row r="7" spans="1:8">
      <c r="C7" s="173" t="s">
        <v>2872</v>
      </c>
      <c r="D7" s="176">
        <f>INDEX(finPNLProd1Seg1RenewalRev,xxIndexTeam)/1000</f>
        <v>27306.948836418938</v>
      </c>
      <c r="E7" s="176">
        <f>INDEX(finPNLProd2Seg1RenewalRev,xxIndexTeam)/1000</f>
        <v>40189.019781301184</v>
      </c>
      <c r="F7" s="176"/>
      <c r="G7" s="176"/>
    </row>
    <row r="8" spans="1:8">
      <c r="C8" s="173" t="s">
        <v>2874</v>
      </c>
      <c r="D8" s="176">
        <f>INDEX(finPNLProd1Seg1ServicesRev,xxIndexTeam)/1000</f>
        <v>7140</v>
      </c>
      <c r="E8" s="176">
        <f>INDEX(finPNLProd2Seg1ServicesRev,xxIndexTeam)/1000</f>
        <v>4230</v>
      </c>
      <c r="F8" s="176"/>
      <c r="G8" s="176"/>
    </row>
    <row r="9" spans="1:8">
      <c r="C9" s="173" t="s">
        <v>2873</v>
      </c>
      <c r="D9" s="176">
        <f>INDEX(finPNLProd1Seg1RevFromDef,xxIndexTeam)/1000</f>
        <v>39578.510513643654</v>
      </c>
      <c r="E9" s="176">
        <f>INDEX(finPNLProd2Seg1RevFromDef,xxIndexTeam)/1000</f>
        <v>58249.698693025319</v>
      </c>
      <c r="F9" s="176"/>
      <c r="G9" s="176"/>
    </row>
    <row r="10" spans="1:8">
      <c r="C10" s="173" t="s">
        <v>50</v>
      </c>
      <c r="D10" s="176">
        <f>SUM(D5:D9)</f>
        <v>133103.1863000626</v>
      </c>
      <c r="E10" s="176">
        <f>SUM(E5:E9)</f>
        <v>143442.38426432654</v>
      </c>
      <c r="F10" s="176">
        <f>SUM(F5:F9)</f>
        <v>117995.01120000002</v>
      </c>
      <c r="G10" s="176"/>
    </row>
    <row r="12" spans="1:8">
      <c r="D12" s="175" t="str">
        <f>nmProd1</f>
        <v>Productivity &amp; Business</v>
      </c>
      <c r="E12" s="175" t="str">
        <f>nmProd2</f>
        <v>Intelligent Cloud</v>
      </c>
      <c r="F12" s="175" t="str">
        <f>nmProd3</f>
        <v>Personal Computing</v>
      </c>
    </row>
    <row r="13" spans="1:8">
      <c r="C13" s="173" t="s">
        <v>2870</v>
      </c>
      <c r="D13" s="176">
        <f>INDEX(finPNLProd1Seg2NewRev,xxIndexTeam)/1000</f>
        <v>11421.855225000001</v>
      </c>
      <c r="E13" s="176">
        <f>INDEX(finPNLProd2Seg2NewRev,xxIndexTeam)/1000</f>
        <v>62586.628211250012</v>
      </c>
      <c r="F13" s="176">
        <f>INDEX(finPNLProd3Seg2TotalRev,xxIndexTeam)/1000</f>
        <v>98329.017600000021</v>
      </c>
      <c r="G13" s="176"/>
    </row>
    <row r="14" spans="1:8">
      <c r="C14" s="173" t="s">
        <v>2871</v>
      </c>
      <c r="D14" s="176">
        <f>INDEX(finPNLProd1Seg2NonCloudRev,xxIndexTeam)/1000</f>
        <v>26647.500000000004</v>
      </c>
      <c r="E14" s="176">
        <v>0</v>
      </c>
      <c r="F14" s="176"/>
      <c r="G14" s="176"/>
    </row>
    <row r="15" spans="1:8">
      <c r="C15" s="173" t="s">
        <v>2872</v>
      </c>
      <c r="D15" s="176">
        <f>INDEX(finPNLProd1Seg2RenewalRev,xxIndexTeam)/1000</f>
        <v>16599.933840411457</v>
      </c>
      <c r="E15" s="176">
        <f>INDEX(finPNLProd2Seg2RenewalRev,xxIndexTeam)/1000</f>
        <v>43851.77801456544</v>
      </c>
      <c r="F15" s="176"/>
      <c r="G15" s="176"/>
    </row>
    <row r="16" spans="1:8">
      <c r="C16" s="173" t="s">
        <v>2874</v>
      </c>
      <c r="D16" s="176">
        <f>INDEX(finPNLProd1Seg2ServicesRev,xxIndexTeam)/1000</f>
        <v>23745</v>
      </c>
      <c r="E16" s="176">
        <f>INDEX(finPNLProd2Seg2ServicesRev,xxIndexTeam)/1000</f>
        <v>22815</v>
      </c>
      <c r="F16" s="176"/>
      <c r="G16" s="176"/>
    </row>
    <row r="17" spans="2:8">
      <c r="C17" s="173" t="s">
        <v>2873</v>
      </c>
      <c r="D17" s="176">
        <f>INDEX(finPNLProd1Seg2RevFromDef,xxIndexTeam)/1000</f>
        <v>24059.833999186329</v>
      </c>
      <c r="E17" s="176">
        <f>INDEX(finPNLProd2Seg2RevFromDef,xxIndexTeam)/1000</f>
        <v>63558.476180858161</v>
      </c>
      <c r="F17" s="176"/>
      <c r="G17" s="176"/>
    </row>
    <row r="18" spans="2:8">
      <c r="C18" s="173" t="s">
        <v>50</v>
      </c>
      <c r="D18" s="176">
        <f>SUM(D13:D17)</f>
        <v>102474.12306459779</v>
      </c>
      <c r="E18" s="176">
        <f>SUM(E13:E17)</f>
        <v>192811.8824066736</v>
      </c>
      <c r="F18" s="176">
        <f>SUM(F13:F17)</f>
        <v>98329.017600000021</v>
      </c>
      <c r="G18" s="176"/>
    </row>
    <row r="20" spans="2:8">
      <c r="D20" s="175" t="s">
        <v>2840</v>
      </c>
      <c r="E20" s="175" t="s">
        <v>2841</v>
      </c>
      <c r="F20" s="175" t="s">
        <v>2725</v>
      </c>
    </row>
    <row r="21" spans="2:8">
      <c r="C21" s="173" t="str">
        <f>nmSkill3</f>
        <v>Industry Expertise</v>
      </c>
      <c r="D21" s="175">
        <f>INDEX(obalCommercialSkill3,xxIndexTeam)</f>
        <v>2</v>
      </c>
      <c r="E21" s="175">
        <f>INDEX(cbalCommercialSkill3,xxIndexTeam)</f>
        <v>2</v>
      </c>
      <c r="F21" s="175">
        <f ca="1">IndustryAvgCommercialSkill3</f>
        <v>3.5</v>
      </c>
    </row>
    <row r="22" spans="2:8">
      <c r="C22" s="173" t="str">
        <f>nmSkill2</f>
        <v>Consultative Skills</v>
      </c>
      <c r="D22" s="175">
        <f>INDEX(obalCommercialSkill2,xxIndexTeam)</f>
        <v>5</v>
      </c>
      <c r="E22" s="175">
        <f>INDEX(cbalCommercialSkill2,xxIndexTeam)</f>
        <v>5</v>
      </c>
      <c r="F22" s="175">
        <f ca="1">IndustryAvgCommercialSkill2</f>
        <v>6.25</v>
      </c>
    </row>
    <row r="23" spans="2:8">
      <c r="C23" s="173" t="str">
        <f>nmSkill1</f>
        <v>Technical Expertise</v>
      </c>
      <c r="D23" s="175">
        <f>INDEX(obalCommercialSkill1,xxIndexTeam)</f>
        <v>8</v>
      </c>
      <c r="E23" s="175">
        <f>INDEX(cbalCommercialSkill1,xxIndexTeam)</f>
        <v>8</v>
      </c>
      <c r="F23" s="175">
        <f ca="1">IndustryAvgCommercialSkill1</f>
        <v>6</v>
      </c>
    </row>
    <row r="25" spans="2:8">
      <c r="D25" s="175" t="s">
        <v>2840</v>
      </c>
      <c r="E25" s="175" t="s">
        <v>2841</v>
      </c>
      <c r="F25" s="175" t="s">
        <v>2725</v>
      </c>
    </row>
    <row r="26" spans="2:8">
      <c r="B26" s="173"/>
      <c r="C26" s="173" t="s">
        <v>420</v>
      </c>
      <c r="D26" s="175">
        <f>INDEX(obalCommercialDirectSalesFTEs,xxIndexTeam)</f>
        <v>250</v>
      </c>
      <c r="E26" s="175">
        <f>INDEX(cbalCommercialDirectSalesFTEs,xxIndexTeam)</f>
        <v>250</v>
      </c>
      <c r="F26" s="175">
        <f ca="1">ROUNDUP(IndustryAvgCommercialSalesFTEs,0)</f>
        <v>188</v>
      </c>
    </row>
    <row r="27" spans="2:8">
      <c r="C27" s="173" t="s">
        <v>421</v>
      </c>
      <c r="D27" s="175">
        <f>INDEX(obalCommercialInsideSalesFTEs,xxIndexTeam)</f>
        <v>125</v>
      </c>
      <c r="E27" s="175">
        <f>INDEX(cbalCommercialInsideSalesFTEs,xxIndexTeam)</f>
        <v>125</v>
      </c>
      <c r="F27" s="175">
        <f ca="1">ROUNDUP(IndustryAvgCommercialInsideSalesFTEs,0)</f>
        <v>144</v>
      </c>
    </row>
    <row r="28" spans="2:8">
      <c r="C28" s="173" t="s">
        <v>422</v>
      </c>
      <c r="D28" s="175">
        <f>INDEX(obalCommercialServicesFTEs,xxIndexTeam)</f>
        <v>90</v>
      </c>
      <c r="E28" s="175">
        <f>INDEX(cbalCommercialServicesFTEs,xxIndexTeam)</f>
        <v>90</v>
      </c>
      <c r="F28" s="175">
        <f ca="1">ROUNDUP(IndustryAvgCommercialServicesFTEs,0)</f>
        <v>104</v>
      </c>
      <c r="G28" s="176"/>
      <c r="H28" s="173"/>
    </row>
    <row r="30" spans="2:8">
      <c r="C30" s="173" t="s">
        <v>2842</v>
      </c>
      <c r="D30" s="175">
        <f>INDEX(cbalCloudAdoption,xxIndexTeam)</f>
        <v>0.83995427246632004</v>
      </c>
    </row>
    <row r="31" spans="2:8">
      <c r="C31" s="173" t="s">
        <v>2859</v>
      </c>
      <c r="D31" s="175">
        <f>1-D30</f>
        <v>0.16004572753367996</v>
      </c>
    </row>
    <row r="33" spans="1:7">
      <c r="C33" s="173" t="s">
        <v>2701</v>
      </c>
      <c r="D33" s="176">
        <f>INDEX(CalcProd1Seg1CloudMigrationSubs,xxIndexTeam)+INDEX(CalcProd1Seg2CloudMigrationSubs,xxIndexTeam)/1000</f>
        <v>0</v>
      </c>
    </row>
    <row r="34" spans="1:7">
      <c r="C34" s="173" t="s">
        <v>2696</v>
      </c>
      <c r="D34" s="176">
        <f>-INDEX(CalcProd1Seg1CloudMigrationChurnSubs,xxIndexTeam)+INDEX(CalcProd1Seg2CloudMigrationChurnSubs,xxIndexTeam)/1000</f>
        <v>0</v>
      </c>
    </row>
    <row r="38" spans="1:7" s="174" customFormat="1">
      <c r="A38" s="8" t="s">
        <v>365</v>
      </c>
      <c r="C38" s="172"/>
    </row>
    <row r="40" spans="1:7">
      <c r="D40" s="175" t="str">
        <f>nmProd1</f>
        <v>Productivity &amp; Business</v>
      </c>
      <c r="E40" s="175" t="str">
        <f>nmProd3</f>
        <v>Personal Computing</v>
      </c>
    </row>
    <row r="41" spans="1:7">
      <c r="C41" s="173" t="s">
        <v>2870</v>
      </c>
      <c r="D41" s="176">
        <f>INDEX(finPNLProd1Seg3NewRev,xxIndexTeam)/1000</f>
        <v>9646.9342200000101</v>
      </c>
      <c r="E41" s="176">
        <f>INDEX(finPNLProd3Seg3TotalRev,xxIndexTeam)/1000</f>
        <v>176992.67520000006</v>
      </c>
      <c r="G41" s="176"/>
    </row>
    <row r="42" spans="1:7">
      <c r="C42" s="173" t="s">
        <v>2871</v>
      </c>
      <c r="D42" s="176">
        <f>INDEX(finPNLProd1Seg3NonCloudRev,xxIndexTeam)/1000</f>
        <v>0</v>
      </c>
      <c r="E42" s="176"/>
      <c r="G42" s="176"/>
    </row>
    <row r="43" spans="1:7">
      <c r="C43" s="173" t="s">
        <v>2872</v>
      </c>
      <c r="D43" s="176">
        <f>INDEX(finPNLProd1Seg3RenewalRev,xxIndexTeam)/1000</f>
        <v>44169.600373673304</v>
      </c>
      <c r="E43" s="176"/>
      <c r="G43" s="176"/>
    </row>
    <row r="44" spans="1:7">
      <c r="C44" s="173" t="s">
        <v>2873</v>
      </c>
      <c r="D44" s="176">
        <f>INDEX(finPNLProd1Seg3RevFromDef,xxIndexTeam)/1000</f>
        <v>64019.125799999994</v>
      </c>
      <c r="E44" s="176"/>
      <c r="G44" s="176"/>
    </row>
    <row r="45" spans="1:7">
      <c r="C45" s="173" t="s">
        <v>50</v>
      </c>
      <c r="D45" s="176">
        <f>SUM(D41:D44)</f>
        <v>117835.66039367332</v>
      </c>
      <c r="E45" s="176">
        <f>SUM(E41:E44)</f>
        <v>176992.67520000006</v>
      </c>
      <c r="G45" s="176"/>
    </row>
    <row r="47" spans="1:7">
      <c r="D47" s="175" t="s">
        <v>2840</v>
      </c>
      <c r="E47" s="175" t="s">
        <v>2841</v>
      </c>
      <c r="F47" s="175" t="s">
        <v>2725</v>
      </c>
    </row>
    <row r="48" spans="1:7">
      <c r="C48" s="173" t="str">
        <f>nmSkill2</f>
        <v>Consultative Skills</v>
      </c>
      <c r="D48" s="175">
        <f>INDEX(obalConsumerSkill2,xxIndexTeam)</f>
        <v>5</v>
      </c>
      <c r="E48" s="175">
        <f>INDEX(cbalConsumerSkill2,xxIndexTeam)</f>
        <v>5</v>
      </c>
      <c r="F48" s="175">
        <f ca="1">IndustryAvgConsumerSkill2</f>
        <v>6.25</v>
      </c>
    </row>
    <row r="49" spans="1:8">
      <c r="C49" s="173" t="str">
        <f>nmSkill1</f>
        <v>Technical Expertise</v>
      </c>
      <c r="D49" s="175">
        <f>INDEX(obalConsumerSkill1,xxIndexTeam)</f>
        <v>8</v>
      </c>
      <c r="E49" s="175">
        <f>INDEX(cbalConsumerSkill1,xxIndexTeam)</f>
        <v>8</v>
      </c>
      <c r="F49" s="175">
        <f ca="1">IndustryAvgConsumerSkill1</f>
        <v>6</v>
      </c>
    </row>
    <row r="52" spans="1:8">
      <c r="D52" s="175" t="s">
        <v>2840</v>
      </c>
      <c r="E52" s="175" t="s">
        <v>2841</v>
      </c>
      <c r="F52" s="175" t="s">
        <v>2725</v>
      </c>
    </row>
    <row r="53" spans="1:8">
      <c r="B53" s="173"/>
      <c r="C53" s="173" t="s">
        <v>420</v>
      </c>
      <c r="D53" s="175">
        <f>INDEX(obalConsumerDirectSalesFTEs,xxIndexTeam)</f>
        <v>190</v>
      </c>
      <c r="E53" s="175">
        <f>INDEX(cbalConsumerDirectSalesFTEs,xxIndexTeam)</f>
        <v>190</v>
      </c>
      <c r="F53" s="175">
        <f ca="1">ROUNDUP(IndustryAvgConsumerSalesFTEs,0)</f>
        <v>143</v>
      </c>
    </row>
    <row r="54" spans="1:8">
      <c r="C54" s="173" t="s">
        <v>421</v>
      </c>
      <c r="D54" s="175">
        <f>INDEX(obalConsumerInsideSalesFTEs,xxIndexTeam)</f>
        <v>90</v>
      </c>
      <c r="E54" s="175">
        <f>INDEX(cbalConsumerInsideSalesFTEs,xxIndexTeam)</f>
        <v>90</v>
      </c>
      <c r="F54" s="175">
        <f ca="1">ROUNDUP(IndustryAvgConsumerInsideSalesFTEs,0)</f>
        <v>113</v>
      </c>
    </row>
    <row r="55" spans="1:8">
      <c r="C55" s="173" t="s">
        <v>422</v>
      </c>
      <c r="D55" s="175">
        <f>INDEX(obalConsumerServicesFTEs,xxIndexTeam)</f>
        <v>110</v>
      </c>
      <c r="E55" s="175">
        <f>INDEX(cbalConsumerServicesFTEs,xxIndexTeam)</f>
        <v>110</v>
      </c>
      <c r="F55" s="175">
        <f ca="1">ROUNDUP(IndustryAvgConsumerServicesFTEs,0)</f>
        <v>127</v>
      </c>
      <c r="G55" s="176"/>
      <c r="H55" s="173"/>
    </row>
    <row r="57" spans="1:8" s="174" customFormat="1">
      <c r="A57" s="8" t="s">
        <v>454</v>
      </c>
      <c r="C57" s="172"/>
    </row>
    <row r="59" spans="1:8">
      <c r="D59" s="175" t="s">
        <v>2840</v>
      </c>
      <c r="E59" s="175" t="s">
        <v>2841</v>
      </c>
      <c r="F59" s="175" t="s">
        <v>2725</v>
      </c>
    </row>
    <row r="60" spans="1:8">
      <c r="C60" s="173" t="s">
        <v>451</v>
      </c>
      <c r="D60" s="175">
        <f>INDEX(obalEGScalability,xxIndexTeam)</f>
        <v>5</v>
      </c>
      <c r="E60" s="175">
        <f>INDEX(cbalEGScalability,xxIndexTeam)</f>
        <v>5</v>
      </c>
      <c r="F60" s="175">
        <f ca="1">IndustryAvgEGScalability</f>
        <v>5.75</v>
      </c>
    </row>
    <row r="61" spans="1:8">
      <c r="C61" s="173" t="s">
        <v>453</v>
      </c>
      <c r="D61" s="175">
        <f>INDEX(obalEGInteroperability,xxIndexTeam)</f>
        <v>4</v>
      </c>
      <c r="E61" s="175">
        <f>INDEX(cbalEGInteroperability,xxIndexTeam)</f>
        <v>4</v>
      </c>
      <c r="F61" s="175">
        <f ca="1">IndustryAvgEGInteroperability</f>
        <v>5</v>
      </c>
    </row>
    <row r="62" spans="1:8">
      <c r="C62" s="173" t="s">
        <v>450</v>
      </c>
      <c r="D62" s="175">
        <f>INDEX(obalEGSecurity,xxIndexTeam)</f>
        <v>7</v>
      </c>
      <c r="E62" s="175">
        <f>INDEX(cbalEGSecurity,xxIndexTeam)</f>
        <v>7</v>
      </c>
      <c r="F62" s="175">
        <f ca="1">IndustryAvgEGSecurity</f>
        <v>6.3</v>
      </c>
    </row>
    <row r="64" spans="1:8">
      <c r="D64" s="175" t="s">
        <v>2840</v>
      </c>
      <c r="E64" s="175" t="s">
        <v>2841</v>
      </c>
      <c r="F64" s="175" t="s">
        <v>2725</v>
      </c>
    </row>
    <row r="65" spans="1:7">
      <c r="C65" s="173" t="str">
        <f>nmProd3Offering2</f>
        <v>Devices</v>
      </c>
      <c r="D65" s="176">
        <f>INDEX(obalEGProd3Offering2,xxIndexTeam)</f>
        <v>6</v>
      </c>
      <c r="E65" s="176">
        <f>INDEX(cbalEGProd3Offering2,xxIndexTeam)</f>
        <v>6</v>
      </c>
      <c r="F65" s="938">
        <f ca="1">IndustryAvgEGProd3Offering2</f>
        <v>7.5</v>
      </c>
      <c r="G65" s="176"/>
    </row>
    <row r="66" spans="1:7">
      <c r="C66" s="173" t="str">
        <f>nmProd3Offering1</f>
        <v>Doors OS</v>
      </c>
      <c r="D66" s="176">
        <f>INDEX(obalEGProd3Offering1,xxIndexTeam)</f>
        <v>7</v>
      </c>
      <c r="E66" s="176">
        <f>INDEX(cbalEGProd3Offering1,xxIndexTeam)</f>
        <v>7</v>
      </c>
      <c r="F66" s="938">
        <f ca="1">IndustryAvgEGProd3Offering1</f>
        <v>5.25</v>
      </c>
      <c r="G66" s="176"/>
    </row>
    <row r="68" spans="1:7">
      <c r="D68" s="175" t="s">
        <v>2840</v>
      </c>
      <c r="E68" s="175" t="s">
        <v>2841</v>
      </c>
      <c r="F68" s="175" t="s">
        <v>2725</v>
      </c>
    </row>
    <row r="69" spans="1:7">
      <c r="C69" s="173" t="str">
        <f>nmProd2Offering2</f>
        <v>Azul Data, Applications, and AI</v>
      </c>
      <c r="D69" s="176">
        <f>INDEX(obalEGProd2Offering2,xxIndexTeam)</f>
        <v>4</v>
      </c>
      <c r="E69" s="176">
        <f>INDEX(cbalEGProd2Offering2,xxIndexTeam)</f>
        <v>4</v>
      </c>
      <c r="F69" s="938">
        <f ca="1">IndustryAvgEGProd2Offering2</f>
        <v>4.5999999999999996</v>
      </c>
      <c r="G69" s="176"/>
    </row>
    <row r="70" spans="1:7">
      <c r="C70" s="173" t="str">
        <f>nmProd2Offering1</f>
        <v>Azul Infrastructure</v>
      </c>
      <c r="D70" s="176">
        <f>INDEX(obalEGProd2Offering1,xxIndexTeam)</f>
        <v>4</v>
      </c>
      <c r="E70" s="176">
        <f>INDEX(cbalEGProd2Offering1,xxIndexTeam)</f>
        <v>4</v>
      </c>
      <c r="F70" s="938">
        <f ca="1">IndustryAvgEGProd2Offering1</f>
        <v>5</v>
      </c>
      <c r="G70" s="176"/>
    </row>
    <row r="72" spans="1:7">
      <c r="D72" s="175" t="s">
        <v>2840</v>
      </c>
      <c r="E72" s="175" t="s">
        <v>2841</v>
      </c>
      <c r="F72" s="175" t="s">
        <v>2725</v>
      </c>
    </row>
    <row r="73" spans="1:7">
      <c r="C73" s="173" t="str">
        <f>nmProd1Offering2</f>
        <v>Dynamo 365</v>
      </c>
      <c r="D73" s="176">
        <f>INDEX(obalEGProd1Offering2,xxIndexTeam)</f>
        <v>6</v>
      </c>
      <c r="E73" s="176">
        <f>INDEX(cbalEGProd1Offering2,xxIndexTeam)</f>
        <v>6</v>
      </c>
      <c r="F73" s="938">
        <f ca="1">IndustryAvgEGProd1Offering2</f>
        <v>7.5</v>
      </c>
      <c r="G73" s="176"/>
    </row>
    <row r="74" spans="1:7">
      <c r="C74" s="173" t="str">
        <f>nmProd1Offering1</f>
        <v>Workspace 365</v>
      </c>
      <c r="D74" s="176">
        <f>INDEX(obalEGProd1Offering1,xxIndexTeam)</f>
        <v>8</v>
      </c>
      <c r="E74" s="176">
        <f>INDEX(cbalEGProd1Offering1,xxIndexTeam)</f>
        <v>8</v>
      </c>
      <c r="F74" s="938">
        <f ca="1">IndustryAvgEGProd1Offering1</f>
        <v>6</v>
      </c>
      <c r="G74" s="176"/>
    </row>
    <row r="75" spans="1:7">
      <c r="D75" s="215"/>
      <c r="E75" s="226"/>
      <c r="F75" s="226"/>
      <c r="G75" s="226"/>
    </row>
    <row r="76" spans="1:7" s="174" customFormat="1">
      <c r="A76" s="8" t="s">
        <v>2686</v>
      </c>
      <c r="C76" s="172"/>
    </row>
    <row r="77" spans="1:7">
      <c r="D77" s="176"/>
    </row>
    <row r="78" spans="1:7">
      <c r="C78" s="173" t="s">
        <v>214</v>
      </c>
      <c r="D78" s="175">
        <f>INDEX(obalInternalReadiness,xxIndexTeam)</f>
        <v>100</v>
      </c>
    </row>
    <row r="79" spans="1:7">
      <c r="C79" s="173" t="str">
        <f>calcCollabIntReadiness!D19</f>
        <v>Software Engineering FTEs</v>
      </c>
      <c r="D79" s="175">
        <f>calcCollabIntReadiness!E19</f>
        <v>0</v>
      </c>
    </row>
    <row r="80" spans="1:7">
      <c r="B80" s="173"/>
      <c r="C80" s="173" t="str">
        <f>calcCollabIntReadiness!D20</f>
        <v>Supply Chain FTEs</v>
      </c>
      <c r="D80" s="175">
        <f>calcCollabIntReadiness!E20</f>
        <v>0</v>
      </c>
    </row>
    <row r="81" spans="1:4">
      <c r="C81" s="173" t="str">
        <f>calcCollabIntReadiness!D21</f>
        <v>Azul Infrastructure</v>
      </c>
      <c r="D81" s="175">
        <f>calcCollabIntReadiness!E21</f>
        <v>0</v>
      </c>
    </row>
    <row r="82" spans="1:4">
      <c r="C82" s="173" t="s">
        <v>493</v>
      </c>
      <c r="D82" s="175">
        <f>INDEX(cbalInternalReadiness,xxIndexTeam)</f>
        <v>100.785</v>
      </c>
    </row>
    <row r="83" spans="1:4">
      <c r="D83" s="178"/>
    </row>
    <row r="84" spans="1:4">
      <c r="C84" s="173" t="s">
        <v>2683</v>
      </c>
      <c r="D84" s="225">
        <f>INDEX(calcDataCenterUtilization,xxIndexTeam)</f>
        <v>0.66308959442397486</v>
      </c>
    </row>
    <row r="85" spans="1:4">
      <c r="C85" s="173" t="s">
        <v>2684</v>
      </c>
      <c r="D85" s="225">
        <f>1-D84</f>
        <v>0.33691040557602514</v>
      </c>
    </row>
    <row r="86" spans="1:4">
      <c r="D86" s="178"/>
    </row>
    <row r="87" spans="1:4" s="174" customFormat="1">
      <c r="A87" s="8" t="s">
        <v>1686</v>
      </c>
      <c r="C87" s="172"/>
    </row>
    <row r="88" spans="1:4">
      <c r="D88" s="178"/>
    </row>
    <row r="89" spans="1:4">
      <c r="B89" s="173" t="s">
        <v>2792</v>
      </c>
      <c r="D89" s="178"/>
    </row>
    <row r="90" spans="1:4">
      <c r="C90" s="173" t="s">
        <v>2840</v>
      </c>
      <c r="D90" s="1181">
        <f>INDEX(obalCustSuccessRev,xxIndexTeam)</f>
        <v>100.785</v>
      </c>
    </row>
    <row r="91" spans="1:4">
      <c r="C91" s="173" t="s">
        <v>2841</v>
      </c>
      <c r="D91" s="1181">
        <f>INDEX(cbalCustSuccessRev,xxIndexTeam)</f>
        <v>98.429999999999993</v>
      </c>
    </row>
    <row r="92" spans="1:4">
      <c r="D92" s="178"/>
    </row>
    <row r="93" spans="1:4">
      <c r="B93" s="173" t="s">
        <v>2793</v>
      </c>
      <c r="D93" s="178"/>
    </row>
    <row r="94" spans="1:4">
      <c r="C94" s="173" t="s">
        <v>2840</v>
      </c>
      <c r="D94" s="1181">
        <f>INDEX(obalCustSuccessOpMargin,xxIndexTeam)</f>
        <v>97.41</v>
      </c>
    </row>
    <row r="95" spans="1:4">
      <c r="C95" s="173" t="s">
        <v>2841</v>
      </c>
      <c r="D95" s="1181">
        <f>INDEX(cbalCustSuccessOpMargin,xxIndexTeam)</f>
        <v>91.679999999999993</v>
      </c>
    </row>
    <row r="96" spans="1:4">
      <c r="D96" s="178"/>
    </row>
    <row r="97" spans="2:4">
      <c r="B97" s="173" t="s">
        <v>2794</v>
      </c>
      <c r="D97" s="178"/>
    </row>
    <row r="98" spans="2:4">
      <c r="C98" s="173" t="s">
        <v>2840</v>
      </c>
      <c r="D98" s="1181">
        <f>INDEX(obalCustSuccessCSAT,xxIndexTeam)</f>
        <v>98.534999999999997</v>
      </c>
    </row>
    <row r="99" spans="2:4">
      <c r="C99" s="173" t="s">
        <v>2841</v>
      </c>
      <c r="D99" s="1181">
        <f>INDEX(cbalCustSuccessCSAT,xxIndexTeam)</f>
        <v>93.929999999999993</v>
      </c>
    </row>
    <row r="100" spans="2:4">
      <c r="D100" s="178"/>
    </row>
    <row r="101" spans="2:4">
      <c r="B101" s="173" t="s">
        <v>2795</v>
      </c>
      <c r="D101" s="178"/>
    </row>
    <row r="102" spans="2:4">
      <c r="C102" s="173" t="s">
        <v>2840</v>
      </c>
      <c r="D102" s="1181">
        <f>INDEX(obalCustSuccessEE,xxIndexTeam)</f>
        <v>99.66</v>
      </c>
    </row>
    <row r="103" spans="2:4">
      <c r="C103" s="173" t="s">
        <v>2841</v>
      </c>
      <c r="D103" s="1181">
        <f>INDEX(cbalCustSuccessEE,xxIndexTeam)</f>
        <v>96.179999999999993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2819</vt:i4>
      </vt:variant>
    </vt:vector>
  </HeadingPairs>
  <TitlesOfParts>
    <vt:vector size="2869" baseType="lpstr">
      <vt:lpstr>Balancing</vt:lpstr>
      <vt:lpstr>Controls</vt:lpstr>
      <vt:lpstr>ToolSetup</vt:lpstr>
      <vt:lpstr>DataValidation</vt:lpstr>
      <vt:lpstr>TestAuto</vt:lpstr>
      <vt:lpstr>ImportExportCSV</vt:lpstr>
      <vt:lpstr>obal_csv_export</vt:lpstr>
      <vt:lpstr>PopUp</vt:lpstr>
      <vt:lpstr>ClearAdj</vt:lpstr>
      <vt:lpstr>Navigation</vt:lpstr>
      <vt:lpstr>btnPlusMinus</vt:lpstr>
      <vt:lpstr>btnLevel</vt:lpstr>
      <vt:lpstr>InfoButton</vt:lpstr>
      <vt:lpstr>DecErrorMessage</vt:lpstr>
      <vt:lpstr>Dashboard</vt:lpstr>
      <vt:lpstr>FinDefControls</vt:lpstr>
      <vt:lpstr>Popup_Wobbler</vt:lpstr>
      <vt:lpstr>tlInputIntro</vt:lpstr>
      <vt:lpstr>tlInputEG</vt:lpstr>
      <vt:lpstr>tlInputOps</vt:lpstr>
      <vt:lpstr>tlInputCommercial</vt:lpstr>
      <vt:lpstr>tlInputConsumer</vt:lpstr>
      <vt:lpstr>tlInputPNL</vt:lpstr>
      <vt:lpstr>Obal</vt:lpstr>
      <vt:lpstr>Dec</vt:lpstr>
      <vt:lpstr>calcFTEsExpenses</vt:lpstr>
      <vt:lpstr>calcEndingLevels</vt:lpstr>
      <vt:lpstr>calcSubscriptions</vt:lpstr>
      <vt:lpstr>calcService</vt:lpstr>
      <vt:lpstr>calcUnits</vt:lpstr>
      <vt:lpstr>calcConsumption</vt:lpstr>
      <vt:lpstr>calcRenRate</vt:lpstr>
      <vt:lpstr>calcCustSuccess</vt:lpstr>
      <vt:lpstr>calcDataCenter</vt:lpstr>
      <vt:lpstr>calcCollabIntReadiness</vt:lpstr>
      <vt:lpstr>calcCLV</vt:lpstr>
      <vt:lpstr>calcExecution</vt:lpstr>
      <vt:lpstr>calcCPA</vt:lpstr>
      <vt:lpstr>calcWHI</vt:lpstr>
      <vt:lpstr>calcWobbler</vt:lpstr>
      <vt:lpstr>FinPNL</vt:lpstr>
      <vt:lpstr>adj</vt:lpstr>
      <vt:lpstr>param</vt:lpstr>
      <vt:lpstr>Cbal</vt:lpstr>
      <vt:lpstr>mmMarketSetup</vt:lpstr>
      <vt:lpstr>mmCompetitorData</vt:lpstr>
      <vt:lpstr>Glossary</vt:lpstr>
      <vt:lpstr>LookupTable</vt:lpstr>
      <vt:lpstr>Data</vt:lpstr>
      <vt:lpstr>Graphs</vt:lpstr>
      <vt:lpstr>_1A</vt:lpstr>
      <vt:lpstr>adj_CostCode</vt:lpstr>
      <vt:lpstr>adj_FTECode</vt:lpstr>
      <vt:lpstr>adj_IndexTeam</vt:lpstr>
      <vt:lpstr>adjCPAdvocacy</vt:lpstr>
      <vt:lpstr>adjR1WHIScore</vt:lpstr>
      <vt:lpstr>adjR2WHIScore</vt:lpstr>
      <vt:lpstr>Azul_Applications</vt:lpstr>
      <vt:lpstr>Azul_Infrastructure</vt:lpstr>
      <vt:lpstr>Azul_Platform</vt:lpstr>
      <vt:lpstr>btnGSMOLevelSelected</vt:lpstr>
      <vt:lpstr>btnLevelBorder</vt:lpstr>
      <vt:lpstr>btnLevelCount</vt:lpstr>
      <vt:lpstr>btnLevelDec0</vt:lpstr>
      <vt:lpstr>btnLevelDec1</vt:lpstr>
      <vt:lpstr>btnLevelDec10</vt:lpstr>
      <vt:lpstr>btnLevelDec11</vt:lpstr>
      <vt:lpstr>btnLevelDec12</vt:lpstr>
      <vt:lpstr>btnLevelDec13</vt:lpstr>
      <vt:lpstr>btnLevelDec14</vt:lpstr>
      <vt:lpstr>btnLevelDec15</vt:lpstr>
      <vt:lpstr>btnLevelDec16</vt:lpstr>
      <vt:lpstr>btnLevelDec17</vt:lpstr>
      <vt:lpstr>btnLevelDec18</vt:lpstr>
      <vt:lpstr>btnLevelDec19</vt:lpstr>
      <vt:lpstr>btnLevelDec2</vt:lpstr>
      <vt:lpstr>btnLevelDec20</vt:lpstr>
      <vt:lpstr>btnLevelDec21</vt:lpstr>
      <vt:lpstr>btnLevelDec23</vt:lpstr>
      <vt:lpstr>btnLevelDec24</vt:lpstr>
      <vt:lpstr>btnLevelDec25</vt:lpstr>
      <vt:lpstr>btnLevelDec26</vt:lpstr>
      <vt:lpstr>btnLevelDec27</vt:lpstr>
      <vt:lpstr>btnLevelDec28</vt:lpstr>
      <vt:lpstr>btnLevelDec29</vt:lpstr>
      <vt:lpstr>btnLevelDec3</vt:lpstr>
      <vt:lpstr>btnLevelDec30</vt:lpstr>
      <vt:lpstr>btnLevelDec4</vt:lpstr>
      <vt:lpstr>btnLevelDec5</vt:lpstr>
      <vt:lpstr>btnLevelDec6</vt:lpstr>
      <vt:lpstr>btnLevelDec7</vt:lpstr>
      <vt:lpstr>btnLevelDec8</vt:lpstr>
      <vt:lpstr>btnLevelDec9</vt:lpstr>
      <vt:lpstr>btnLevelDeselected</vt:lpstr>
      <vt:lpstr>btnLevelDeselectedText</vt:lpstr>
      <vt:lpstr>btnLevelLevels0</vt:lpstr>
      <vt:lpstr>btnLevelLevels1</vt:lpstr>
      <vt:lpstr>btnLevelLevels10</vt:lpstr>
      <vt:lpstr>btnLevelLevels11</vt:lpstr>
      <vt:lpstr>btnLevelLevels12</vt:lpstr>
      <vt:lpstr>btnLevelLevels13</vt:lpstr>
      <vt:lpstr>btnLevelLevels14</vt:lpstr>
      <vt:lpstr>btnLevelLevels15</vt:lpstr>
      <vt:lpstr>btnLevelLevels16</vt:lpstr>
      <vt:lpstr>btnLevelLevels17</vt:lpstr>
      <vt:lpstr>btnLevelLevels18</vt:lpstr>
      <vt:lpstr>btnLevelLevels19</vt:lpstr>
      <vt:lpstr>btnLevelLevels2</vt:lpstr>
      <vt:lpstr>btnLevelLevels20</vt:lpstr>
      <vt:lpstr>btnLevelLevels21</vt:lpstr>
      <vt:lpstr>btnLevelLevels23</vt:lpstr>
      <vt:lpstr>btnLevelLevels24</vt:lpstr>
      <vt:lpstr>btnLevelLevels25</vt:lpstr>
      <vt:lpstr>btnLevelLevels26</vt:lpstr>
      <vt:lpstr>btnLevelLevels27</vt:lpstr>
      <vt:lpstr>btnLevelLevels28</vt:lpstr>
      <vt:lpstr>btnLevelLevels29</vt:lpstr>
      <vt:lpstr>btnLevelLevels3</vt:lpstr>
      <vt:lpstr>btnLevelLevels30</vt:lpstr>
      <vt:lpstr>btnLevelLevels4</vt:lpstr>
      <vt:lpstr>btnLevelLevels5</vt:lpstr>
      <vt:lpstr>btnLevelLevels6</vt:lpstr>
      <vt:lpstr>btnLevelLevels7</vt:lpstr>
      <vt:lpstr>btnLevelLevels8</vt:lpstr>
      <vt:lpstr>btnLevelLevels9</vt:lpstr>
      <vt:lpstr>btnLevelSelectedText</vt:lpstr>
      <vt:lpstr>btnLevelSelectedtlInputCommercial</vt:lpstr>
      <vt:lpstr>btnLevelSelectedtlInputConsumer</vt:lpstr>
      <vt:lpstr>btnLevelSelectedtlInputEG</vt:lpstr>
      <vt:lpstr>btnLevelSelectedtlInputOps</vt:lpstr>
      <vt:lpstr>btnLevelSheet0</vt:lpstr>
      <vt:lpstr>btnLevelSheet1</vt:lpstr>
      <vt:lpstr>btnLevelSheet10</vt:lpstr>
      <vt:lpstr>btnLevelSheet11</vt:lpstr>
      <vt:lpstr>btnLevelSheet12</vt:lpstr>
      <vt:lpstr>btnLevelSheet13</vt:lpstr>
      <vt:lpstr>btnLevelSheet14</vt:lpstr>
      <vt:lpstr>btnLevelSheet15</vt:lpstr>
      <vt:lpstr>btnLevelSheet16</vt:lpstr>
      <vt:lpstr>btnLevelSheet17</vt:lpstr>
      <vt:lpstr>btnLevelSheet18</vt:lpstr>
      <vt:lpstr>btnLevelSheet19</vt:lpstr>
      <vt:lpstr>btnLevelSheet2</vt:lpstr>
      <vt:lpstr>btnLevelSheet20</vt:lpstr>
      <vt:lpstr>btnLevelSheet21</vt:lpstr>
      <vt:lpstr>btnLevelSheet23</vt:lpstr>
      <vt:lpstr>btnLevelSheet24</vt:lpstr>
      <vt:lpstr>btnLevelSheet25</vt:lpstr>
      <vt:lpstr>btnLevelSheet26</vt:lpstr>
      <vt:lpstr>btnLevelSheet27</vt:lpstr>
      <vt:lpstr>btnLevelSheet28</vt:lpstr>
      <vt:lpstr>btnLevelSheet29</vt:lpstr>
      <vt:lpstr>btnLevelSheet3</vt:lpstr>
      <vt:lpstr>btnLevelSheet30</vt:lpstr>
      <vt:lpstr>btnLevelSheet4</vt:lpstr>
      <vt:lpstr>btnLevelSheet5</vt:lpstr>
      <vt:lpstr>btnLevelSheet6</vt:lpstr>
      <vt:lpstr>btnLevelSheet7</vt:lpstr>
      <vt:lpstr>btnLevelSheet8</vt:lpstr>
      <vt:lpstr>btnLevelSheet9</vt:lpstr>
      <vt:lpstr>btnPlusMinusDec0</vt:lpstr>
      <vt:lpstr>btnPlusMinusDec101</vt:lpstr>
      <vt:lpstr>btnPlusMinusDec102</vt:lpstr>
      <vt:lpstr>btnPlusMinusDec103</vt:lpstr>
      <vt:lpstr>btnPlusMinusDec104</vt:lpstr>
      <vt:lpstr>btnPlusMinusDec105</vt:lpstr>
      <vt:lpstr>btnPlusMinusDec106</vt:lpstr>
      <vt:lpstr>btnPlusMinusDec107</vt:lpstr>
      <vt:lpstr>btnPlusMinusDec108</vt:lpstr>
      <vt:lpstr>btnPlusMinusDec109</vt:lpstr>
      <vt:lpstr>btnPlusMinusDec110</vt:lpstr>
      <vt:lpstr>btnPlusMinusDec111</vt:lpstr>
      <vt:lpstr>btnPlusMinusDec112</vt:lpstr>
      <vt:lpstr>btnPlusMinusDec113</vt:lpstr>
      <vt:lpstr>btnPlusMinusDec114</vt:lpstr>
      <vt:lpstr>btnPlusMinusDec115</vt:lpstr>
      <vt:lpstr>btnPlusMinusDec116</vt:lpstr>
      <vt:lpstr>btnPlusMinusDec117</vt:lpstr>
      <vt:lpstr>btnPlusMinusDec118</vt:lpstr>
      <vt:lpstr>btnPlusMinusDec119</vt:lpstr>
      <vt:lpstr>btnPlusMinusDec120</vt:lpstr>
      <vt:lpstr>btnPlusMinusDec121</vt:lpstr>
      <vt:lpstr>btnPlusMinusDec122</vt:lpstr>
      <vt:lpstr>btnPlusMinusDec123</vt:lpstr>
      <vt:lpstr>btnPlusMinusDec124</vt:lpstr>
      <vt:lpstr>btnPlusMinusDec125</vt:lpstr>
      <vt:lpstr>btnPlusMinusDec126</vt:lpstr>
      <vt:lpstr>btnPlusMinusDec127</vt:lpstr>
      <vt:lpstr>btnPlusMinusDec128</vt:lpstr>
      <vt:lpstr>btnPlusMinusDec129</vt:lpstr>
      <vt:lpstr>btnPlusMinusDec130</vt:lpstr>
      <vt:lpstr>btnPlusMinusDec131</vt:lpstr>
      <vt:lpstr>btnPlusMinusDec132</vt:lpstr>
      <vt:lpstr>btnPlusMinusDec133</vt:lpstr>
      <vt:lpstr>btnPlusMinusDec134</vt:lpstr>
      <vt:lpstr>btnPlusMinusDec135</vt:lpstr>
      <vt:lpstr>btnPlusMinusDec136</vt:lpstr>
      <vt:lpstr>btnPlusMinusDec137</vt:lpstr>
      <vt:lpstr>btnPlusMinusDec138</vt:lpstr>
      <vt:lpstr>btnPlusMinusDec139</vt:lpstr>
      <vt:lpstr>btnPlusMinusIncr0</vt:lpstr>
      <vt:lpstr>btnPlusMinusIncr04</vt:lpstr>
      <vt:lpstr>btnPlusMinusIncr101</vt:lpstr>
      <vt:lpstr>btnPlusMinusIncr102</vt:lpstr>
      <vt:lpstr>btnPlusMinusIncr103</vt:lpstr>
      <vt:lpstr>btnPlusMinusIncr104</vt:lpstr>
      <vt:lpstr>btnPlusMinusIncr105</vt:lpstr>
      <vt:lpstr>btnPlusMinusIncr106</vt:lpstr>
      <vt:lpstr>btnPlusMinusIncr107</vt:lpstr>
      <vt:lpstr>btnPlusMinusIncr108</vt:lpstr>
      <vt:lpstr>btnPlusMinusIncr109</vt:lpstr>
      <vt:lpstr>btnPlusMinusIncr110</vt:lpstr>
      <vt:lpstr>btnPlusMinusIncr111</vt:lpstr>
      <vt:lpstr>btnPlusMinusIncr112</vt:lpstr>
      <vt:lpstr>btnPlusMinusIncr113</vt:lpstr>
      <vt:lpstr>btnPlusMinusIncr114</vt:lpstr>
      <vt:lpstr>btnPlusMinusIncr115</vt:lpstr>
      <vt:lpstr>btnPlusMinusIncr116</vt:lpstr>
      <vt:lpstr>btnPlusMinusIncr117</vt:lpstr>
      <vt:lpstr>btnPlusMinusIncr118</vt:lpstr>
      <vt:lpstr>btnPlusMinusIncr119</vt:lpstr>
      <vt:lpstr>btnPlusMinusIncr120</vt:lpstr>
      <vt:lpstr>btnPlusMinusIncr121</vt:lpstr>
      <vt:lpstr>btnPlusMinusIncr122</vt:lpstr>
      <vt:lpstr>btnPlusMinusIncr123</vt:lpstr>
      <vt:lpstr>btnPlusMinusIncr124</vt:lpstr>
      <vt:lpstr>btnPlusMinusIncr125</vt:lpstr>
      <vt:lpstr>btnPlusMinusIncr126</vt:lpstr>
      <vt:lpstr>btnPlusMinusIncr127</vt:lpstr>
      <vt:lpstr>btnPlusMinusIncr128</vt:lpstr>
      <vt:lpstr>btnPlusMinusIncr129</vt:lpstr>
      <vt:lpstr>btnPlusMinusIncr130</vt:lpstr>
      <vt:lpstr>btnPlusMinusIncr131</vt:lpstr>
      <vt:lpstr>btnPlusMinusIncr132</vt:lpstr>
      <vt:lpstr>btnPlusMinusIncr133</vt:lpstr>
      <vt:lpstr>btnPlusMinusIncr134</vt:lpstr>
      <vt:lpstr>btnPlusMinusIncr135</vt:lpstr>
      <vt:lpstr>btnPlusMinusIncr136</vt:lpstr>
      <vt:lpstr>btnPlusMinusIncr137</vt:lpstr>
      <vt:lpstr>btnPlusMinusIncr138</vt:lpstr>
      <vt:lpstr>btnPlusMinusIncr139</vt:lpstr>
      <vt:lpstr>btnPlusMinusMax0</vt:lpstr>
      <vt:lpstr>btnPlusMinusMax101</vt:lpstr>
      <vt:lpstr>btnPlusMinusMax102</vt:lpstr>
      <vt:lpstr>btnPlusMinusMax103</vt:lpstr>
      <vt:lpstr>btnPlusMinusMax104</vt:lpstr>
      <vt:lpstr>btnPlusMinusMax105</vt:lpstr>
      <vt:lpstr>btnPlusMinusMax106</vt:lpstr>
      <vt:lpstr>btnPlusMinusMax107</vt:lpstr>
      <vt:lpstr>btnPlusMinusMax108</vt:lpstr>
      <vt:lpstr>btnPlusMinusMax109</vt:lpstr>
      <vt:lpstr>btnPlusMinusMax110</vt:lpstr>
      <vt:lpstr>btnPlusMinusMax111</vt:lpstr>
      <vt:lpstr>btnPlusMinusMax112</vt:lpstr>
      <vt:lpstr>btnPlusMinusMax113</vt:lpstr>
      <vt:lpstr>btnPlusMinusMax114</vt:lpstr>
      <vt:lpstr>btnPlusMinusMax115</vt:lpstr>
      <vt:lpstr>btnPlusMinusMax116</vt:lpstr>
      <vt:lpstr>btnPlusMinusMax117</vt:lpstr>
      <vt:lpstr>btnPlusMinusMax118</vt:lpstr>
      <vt:lpstr>btnPlusMinusMax119</vt:lpstr>
      <vt:lpstr>btnPlusMinusMax120</vt:lpstr>
      <vt:lpstr>btnPlusMinusMax121</vt:lpstr>
      <vt:lpstr>btnPlusMinusMax122</vt:lpstr>
      <vt:lpstr>btnPlusMinusMax123</vt:lpstr>
      <vt:lpstr>btnPlusMinusMax124</vt:lpstr>
      <vt:lpstr>btnPlusMinusMax125</vt:lpstr>
      <vt:lpstr>btnPlusMinusMax126</vt:lpstr>
      <vt:lpstr>btnPlusMinusMax127</vt:lpstr>
      <vt:lpstr>btnPlusMinusMax128</vt:lpstr>
      <vt:lpstr>btnPlusMinusMax129</vt:lpstr>
      <vt:lpstr>btnPlusMinusMax130</vt:lpstr>
      <vt:lpstr>btnPlusMinusMax131</vt:lpstr>
      <vt:lpstr>btnPlusMinusMax132</vt:lpstr>
      <vt:lpstr>btnPlusMinusMax133</vt:lpstr>
      <vt:lpstr>btnPlusMinusMax134</vt:lpstr>
      <vt:lpstr>btnPlusMinusMax135</vt:lpstr>
      <vt:lpstr>btnPlusMinusMax136</vt:lpstr>
      <vt:lpstr>btnPlusMinusMax137</vt:lpstr>
      <vt:lpstr>btnPlusMinusMax138</vt:lpstr>
      <vt:lpstr>btnPlusMinusMax139</vt:lpstr>
      <vt:lpstr>btnPlusMinusMin0</vt:lpstr>
      <vt:lpstr>btnPlusMinusMin101</vt:lpstr>
      <vt:lpstr>btnPlusMinusMin102</vt:lpstr>
      <vt:lpstr>btnPlusMinusMin103</vt:lpstr>
      <vt:lpstr>btnPlusMinusMin104</vt:lpstr>
      <vt:lpstr>btnPlusMinusMin105</vt:lpstr>
      <vt:lpstr>btnPlusMinusMin106</vt:lpstr>
      <vt:lpstr>btnPlusMinusMin107</vt:lpstr>
      <vt:lpstr>btnPlusMinusMin108</vt:lpstr>
      <vt:lpstr>btnPlusMinusMin109</vt:lpstr>
      <vt:lpstr>btnPlusMinusMin110</vt:lpstr>
      <vt:lpstr>btnPlusMinusMin111</vt:lpstr>
      <vt:lpstr>btnPlusMinusMin112</vt:lpstr>
      <vt:lpstr>btnPlusMinusMin113</vt:lpstr>
      <vt:lpstr>btnPlusMinusMin114</vt:lpstr>
      <vt:lpstr>btnPlusMinusMin115</vt:lpstr>
      <vt:lpstr>btnPlusMinusMin116</vt:lpstr>
      <vt:lpstr>btnPlusMinusMin117</vt:lpstr>
      <vt:lpstr>btnPlusMinusMin118</vt:lpstr>
      <vt:lpstr>btnPlusMinusMin119</vt:lpstr>
      <vt:lpstr>btnPlusMinusMin120</vt:lpstr>
      <vt:lpstr>btnPlusMinusMin121</vt:lpstr>
      <vt:lpstr>btnPlusMinusMin122</vt:lpstr>
      <vt:lpstr>btnPlusMinusMin123</vt:lpstr>
      <vt:lpstr>btnPlusMinusMin124</vt:lpstr>
      <vt:lpstr>btnPlusMinusMin125</vt:lpstr>
      <vt:lpstr>btnPlusMinusMin126</vt:lpstr>
      <vt:lpstr>btnPlusMinusMin127</vt:lpstr>
      <vt:lpstr>btnPlusMinusMin128</vt:lpstr>
      <vt:lpstr>btnPlusMinusMin129</vt:lpstr>
      <vt:lpstr>btnPlusMinusMin130</vt:lpstr>
      <vt:lpstr>btnPlusMinusMin131</vt:lpstr>
      <vt:lpstr>btnPlusMinusMin132</vt:lpstr>
      <vt:lpstr>btnPlusMinusMin133</vt:lpstr>
      <vt:lpstr>btnPlusMinusMin134</vt:lpstr>
      <vt:lpstr>btnPlusMinusMin135</vt:lpstr>
      <vt:lpstr>btnPlusMinusMin136</vt:lpstr>
      <vt:lpstr>btnPlusMinusMin137</vt:lpstr>
      <vt:lpstr>btnPlusMinusMin138</vt:lpstr>
      <vt:lpstr>btnPlusMinusMin139</vt:lpstr>
      <vt:lpstr>calcAvgConsumption</vt:lpstr>
      <vt:lpstr>calcAvgRenRate</vt:lpstr>
      <vt:lpstr>calcChallengeFTEs</vt:lpstr>
      <vt:lpstr>CalcCloudAdoption</vt:lpstr>
      <vt:lpstr>calcCloudMigration</vt:lpstr>
      <vt:lpstr>calcCloudMigrationChurnRate</vt:lpstr>
      <vt:lpstr>calcCloudMigrationInternalReadiness</vt:lpstr>
      <vt:lpstr>calcCloudMigrationSkill2</vt:lpstr>
      <vt:lpstr>calcCloudMigrationSuccessRate</vt:lpstr>
      <vt:lpstr>calcCollab</vt:lpstr>
      <vt:lpstr>calcCollabKicker</vt:lpstr>
      <vt:lpstr>calcCommercialDirectSalesFTEs</vt:lpstr>
      <vt:lpstr>calcCommercialDirectSalesSalary</vt:lpstr>
      <vt:lpstr>calcCommercialFixedPartnerExp</vt:lpstr>
      <vt:lpstr>calcCommercialInsideSalesFTEs</vt:lpstr>
      <vt:lpstr>calcCommercialInsideSalesSalary</vt:lpstr>
      <vt:lpstr>calcCommercialMMPartner1Development</vt:lpstr>
      <vt:lpstr>calcCommercialMMPartner1Education</vt:lpstr>
      <vt:lpstr>calcCommercialMMPartner1Incentives</vt:lpstr>
      <vt:lpstr>calcCommercialMMPartner2Development</vt:lpstr>
      <vt:lpstr>calcCommercialMMPartner2Education</vt:lpstr>
      <vt:lpstr>calcCommercialMMPartner2Incentives</vt:lpstr>
      <vt:lpstr>calcCommercialMMPartner3Development</vt:lpstr>
      <vt:lpstr>calcCommercialMMPartner3Education</vt:lpstr>
      <vt:lpstr>calcCommercialMMPartner3Incentives</vt:lpstr>
      <vt:lpstr>calcCommercialMMPartner4Development</vt:lpstr>
      <vt:lpstr>calcCommercialMMPartner4Education</vt:lpstr>
      <vt:lpstr>calcCommercialMMPartner4Incentives</vt:lpstr>
      <vt:lpstr>calcCommercialPartner1Budget</vt:lpstr>
      <vt:lpstr>calcCommercialPartner1Development</vt:lpstr>
      <vt:lpstr>calcCommercialPartner1FTEs</vt:lpstr>
      <vt:lpstr>calcCommercialPartner2Budget</vt:lpstr>
      <vt:lpstr>calcCommercialPartner2FTEs</vt:lpstr>
      <vt:lpstr>calcCommercialPartner3Budget</vt:lpstr>
      <vt:lpstr>calcCommercialPartner3FTEs</vt:lpstr>
      <vt:lpstr>calcCommercialPartner4Budget</vt:lpstr>
      <vt:lpstr>calcCommercialPartner4FTEs</vt:lpstr>
      <vt:lpstr>calcCommercialPartnerDevelopment</vt:lpstr>
      <vt:lpstr>calcCommercialPartnerDevelopmentExp</vt:lpstr>
      <vt:lpstr>calcCommercialPartnerDevelopmentFTEs</vt:lpstr>
      <vt:lpstr>calcCommercialPartnerEducation</vt:lpstr>
      <vt:lpstr>calcCommercialPartnerEducationExp</vt:lpstr>
      <vt:lpstr>calcCommercialPartnerEducationFTEs</vt:lpstr>
      <vt:lpstr>calcCommercialPartnerIncentives</vt:lpstr>
      <vt:lpstr>calcCommercialPartnerIncentivesExp</vt:lpstr>
      <vt:lpstr>calcCommercialPartnerIncentivesFTEs</vt:lpstr>
      <vt:lpstr>calcCommercialPartnerSalary</vt:lpstr>
      <vt:lpstr>calcCommercialProd1Price</vt:lpstr>
      <vt:lpstr>calcCommercialProd2Price</vt:lpstr>
      <vt:lpstr>calcCommercialProd3Price</vt:lpstr>
      <vt:lpstr>calcCommercialServicesPremierFTEs</vt:lpstr>
      <vt:lpstr>calcCommercialServicesPremierSalary</vt:lpstr>
      <vt:lpstr>calcCommercialSkill1</vt:lpstr>
      <vt:lpstr>calcCommercialSkill1Exp</vt:lpstr>
      <vt:lpstr>calcCommercialSkill1FTEs</vt:lpstr>
      <vt:lpstr>calcCommercialSkill2</vt:lpstr>
      <vt:lpstr>calcCommercialSkill2Exp</vt:lpstr>
      <vt:lpstr>calcCommercialSkill2FTEs</vt:lpstr>
      <vt:lpstr>calcCommercialSkill3</vt:lpstr>
      <vt:lpstr>calcCommercialSkill3Exp</vt:lpstr>
      <vt:lpstr>calcCommercialSkill3FTEs</vt:lpstr>
      <vt:lpstr>calcCommercialTotalFTEs</vt:lpstr>
      <vt:lpstr>calcCommercialTotalPartnerBudget</vt:lpstr>
      <vt:lpstr>calcCommercialTotalPartnerFTEs</vt:lpstr>
      <vt:lpstr>calcCommercialTotalSalary</vt:lpstr>
      <vt:lpstr>calcConsumerDirectSalesFTEs</vt:lpstr>
      <vt:lpstr>calcConsumerDirectSalesSalary</vt:lpstr>
      <vt:lpstr>calcConsumerFixedPartnerExp</vt:lpstr>
      <vt:lpstr>calcConsumerInsideSalesFTEs</vt:lpstr>
      <vt:lpstr>calcConsumerInsideSalesSalary</vt:lpstr>
      <vt:lpstr>calcConsumerMMPartner4Development</vt:lpstr>
      <vt:lpstr>calcConsumerMMPartner4Education</vt:lpstr>
      <vt:lpstr>calcConsumerMMPartner4Incentives</vt:lpstr>
      <vt:lpstr>calcConsumerMMPartner5Development</vt:lpstr>
      <vt:lpstr>calcConsumerMMPartner5Education</vt:lpstr>
      <vt:lpstr>calcConsumerMMPartner5Incentives</vt:lpstr>
      <vt:lpstr>calcConsumerMMPartner6Development</vt:lpstr>
      <vt:lpstr>calcConsumerMMPartner6Education</vt:lpstr>
      <vt:lpstr>calcConsumerMMPartner6Incentives</vt:lpstr>
      <vt:lpstr>calcConsumerPartner4Budget</vt:lpstr>
      <vt:lpstr>calcConsumerPartner4FTEs</vt:lpstr>
      <vt:lpstr>calcConsumerPartner5Budget</vt:lpstr>
      <vt:lpstr>calcConsumerPartner5FTEs</vt:lpstr>
      <vt:lpstr>calcConsumerPartner6Budget</vt:lpstr>
      <vt:lpstr>calcConsumerPartner6FTEs</vt:lpstr>
      <vt:lpstr>calcConsumerPartnerDevelopment</vt:lpstr>
      <vt:lpstr>calcConsumerPartnerDevelopmentExp</vt:lpstr>
      <vt:lpstr>calcConsumerPartnerDevelopmentFTEs</vt:lpstr>
      <vt:lpstr>calcConsumerPartnerEducation</vt:lpstr>
      <vt:lpstr>calcConsumerPartnerEducationExp</vt:lpstr>
      <vt:lpstr>calcConsumerPartnerEducationFTEs</vt:lpstr>
      <vt:lpstr>calcConsumerPartnerIncentives</vt:lpstr>
      <vt:lpstr>calcConsumerPartnerIncentivesExp</vt:lpstr>
      <vt:lpstr>calcConsumerPartnerIncentivesFTEs</vt:lpstr>
      <vt:lpstr>calcConsumerPartnerSalary</vt:lpstr>
      <vt:lpstr>calcConsumerProd1Price</vt:lpstr>
      <vt:lpstr>calcConsumerProd3Price</vt:lpstr>
      <vt:lpstr>calcConsumerServicesFTEs</vt:lpstr>
      <vt:lpstr>calcConsumerServicesSalary</vt:lpstr>
      <vt:lpstr>calcConsumerSkill1</vt:lpstr>
      <vt:lpstr>calcConsumerSkill1Exp</vt:lpstr>
      <vt:lpstr>calcConsumerSkill1FTEs</vt:lpstr>
      <vt:lpstr>calcConsumerSkill2</vt:lpstr>
      <vt:lpstr>calcConsumerSkill2Exp</vt:lpstr>
      <vt:lpstr>calcConsumerSkill2FTEs</vt:lpstr>
      <vt:lpstr>calcConsumerTalentSalary</vt:lpstr>
      <vt:lpstr>calcConsumerTotalFTEs</vt:lpstr>
      <vt:lpstr>calcConsumerTotalPartnerBudget</vt:lpstr>
      <vt:lpstr>calcConsumerTotalPartnerFTEs</vt:lpstr>
      <vt:lpstr>calcCPE</vt:lpstr>
      <vt:lpstr>calcCustSuccess</vt:lpstr>
      <vt:lpstr>calcCustSuccessCSAT</vt:lpstr>
      <vt:lpstr>calcCustSuccessEE</vt:lpstr>
      <vt:lpstr>calcCustSuccessOpMargin</vt:lpstr>
      <vt:lpstr>calcCustSuccessRev</vt:lpstr>
      <vt:lpstr>calcDataCenterCapex</vt:lpstr>
      <vt:lpstr>calcDataCenterCapexMult</vt:lpstr>
      <vt:lpstr>calcDataCenterCapexPerc</vt:lpstr>
      <vt:lpstr>calcDataCenterInvestCum</vt:lpstr>
      <vt:lpstr>calcDataCenterInvestDec</vt:lpstr>
      <vt:lpstr>calcDataCenterInvestPLevel</vt:lpstr>
      <vt:lpstr>calcDataCenterOpex</vt:lpstr>
      <vt:lpstr>calcDataCenterOpexMult</vt:lpstr>
      <vt:lpstr>calcDataCenterOpexPerc</vt:lpstr>
      <vt:lpstr>calcDataCenterRequiredSales</vt:lpstr>
      <vt:lpstr>calcDataCenterRound</vt:lpstr>
      <vt:lpstr>calcDataCenterSales</vt:lpstr>
      <vt:lpstr>calcDataCenterUtilization</vt:lpstr>
      <vt:lpstr>calcDataCenterValue</vt:lpstr>
      <vt:lpstr>calcEGInteroperability</vt:lpstr>
      <vt:lpstr>calcEGInteroperabilityCollab</vt:lpstr>
      <vt:lpstr>calcEGInteroperabilityETUs</vt:lpstr>
      <vt:lpstr>calcEGInteroperabilityInvestment</vt:lpstr>
      <vt:lpstr>calcEGInteroperabilityMarketing</vt:lpstr>
      <vt:lpstr>calcEGProd1Offering1</vt:lpstr>
      <vt:lpstr>calcEGProd1Offering1Collab</vt:lpstr>
      <vt:lpstr>calcEGProd1Offering1ETUs</vt:lpstr>
      <vt:lpstr>calcEGProd1Offering1Investment</vt:lpstr>
      <vt:lpstr>calcEGProd1Offering1Marketing</vt:lpstr>
      <vt:lpstr>calcEGProd1Offering2</vt:lpstr>
      <vt:lpstr>calcEGProd1Offering2Collab</vt:lpstr>
      <vt:lpstr>calcEGProd1Offering2ETUs</vt:lpstr>
      <vt:lpstr>calcEGProd1Offering2Investment</vt:lpstr>
      <vt:lpstr>calcEGProd1Offering2Marketing</vt:lpstr>
      <vt:lpstr>calcEGProd2Offering1</vt:lpstr>
      <vt:lpstr>calcEGProd2Offering1Collab</vt:lpstr>
      <vt:lpstr>calcEGProd2Offering1ETUs</vt:lpstr>
      <vt:lpstr>calcEGProd2Offering1Investment</vt:lpstr>
      <vt:lpstr>calcEGProd2Offering1Marketing</vt:lpstr>
      <vt:lpstr>calcEGProd2Offering2</vt:lpstr>
      <vt:lpstr>calcEGProd2Offering2Collab</vt:lpstr>
      <vt:lpstr>calcEGProd2Offering2ETUs</vt:lpstr>
      <vt:lpstr>calcEGProd2Offering2Investment</vt:lpstr>
      <vt:lpstr>calcEGProd2Offering2Marketing</vt:lpstr>
      <vt:lpstr>calcEGProd3Offering1</vt:lpstr>
      <vt:lpstr>calcEGProd3Offering1Collab</vt:lpstr>
      <vt:lpstr>calcEGProd3Offering1ETUs</vt:lpstr>
      <vt:lpstr>calcEGProd3Offering1Investment</vt:lpstr>
      <vt:lpstr>calcEGProd3Offering1Marketing</vt:lpstr>
      <vt:lpstr>calcEGProd3Offering2</vt:lpstr>
      <vt:lpstr>calcEGProd3Offering2Collab</vt:lpstr>
      <vt:lpstr>calcEGProd3Offering2ETUs</vt:lpstr>
      <vt:lpstr>calcEGProd3Offering2Investment</vt:lpstr>
      <vt:lpstr>calcEGProd3Offering2Marketing</vt:lpstr>
      <vt:lpstr>calcEGScalability</vt:lpstr>
      <vt:lpstr>calcEGScalabilityCollab</vt:lpstr>
      <vt:lpstr>calcEGScalabilityETUs</vt:lpstr>
      <vt:lpstr>calcEGScalabilityInvestment</vt:lpstr>
      <vt:lpstr>calcEGScalabilityMarketing</vt:lpstr>
      <vt:lpstr>calcEGSecurity</vt:lpstr>
      <vt:lpstr>calcEGSecurityCollab</vt:lpstr>
      <vt:lpstr>calcEGSecurityETUs</vt:lpstr>
      <vt:lpstr>calcEGSecurityInvestment</vt:lpstr>
      <vt:lpstr>calcEGSecurityMarketing</vt:lpstr>
      <vt:lpstr>calcEGTotalETUs</vt:lpstr>
      <vt:lpstr>calcEndingHeadcount</vt:lpstr>
      <vt:lpstr>calcETUsAvailable</vt:lpstr>
      <vt:lpstr>calcETUsRemaining</vt:lpstr>
      <vt:lpstr>calcExecution</vt:lpstr>
      <vt:lpstr>calcFTEsAvailable</vt:lpstr>
      <vt:lpstr>calcFTEsRemaining</vt:lpstr>
      <vt:lpstr>calcFulltimeFTEs</vt:lpstr>
      <vt:lpstr>calcGlobalDemandCenterKicker</vt:lpstr>
      <vt:lpstr>calcInternalReadiness</vt:lpstr>
      <vt:lpstr>calcMMScoreInteroperability</vt:lpstr>
      <vt:lpstr>calcMMScoreProd1</vt:lpstr>
      <vt:lpstr>calcMMScoreProd1Offering1</vt:lpstr>
      <vt:lpstr>calcMMScoreProd1Offering2</vt:lpstr>
      <vt:lpstr>calcMMScoreProd2</vt:lpstr>
      <vt:lpstr>calcMMScoreProd2Offering1</vt:lpstr>
      <vt:lpstr>calcMMScoreProd2Offering2</vt:lpstr>
      <vt:lpstr>calcMMScoreProd3</vt:lpstr>
      <vt:lpstr>calcMMScoreProd3Offering1</vt:lpstr>
      <vt:lpstr>calcMMScoreProd3Offering2</vt:lpstr>
      <vt:lpstr>calcMMScoreScalability</vt:lpstr>
      <vt:lpstr>calcMMScoreSecurity</vt:lpstr>
      <vt:lpstr>calcOpsCollabFTEs</vt:lpstr>
      <vt:lpstr>calcOpsCollabSalary</vt:lpstr>
      <vt:lpstr>calcOpsCommercialProd1MarketingBudget</vt:lpstr>
      <vt:lpstr>calcOpsCommercialProd2MarketingBudget</vt:lpstr>
      <vt:lpstr>calcOpsCommercialProd3MarketingBudget</vt:lpstr>
      <vt:lpstr>calcOpsCommercialTotalMarketingBudget</vt:lpstr>
      <vt:lpstr>calcOpsConsumerProd1MarketingBudget</vt:lpstr>
      <vt:lpstr>calcOpsConsumerProd3MarketingBudget</vt:lpstr>
      <vt:lpstr>calcOpsConsumerTotalMarketingBudget</vt:lpstr>
      <vt:lpstr>calcOpsGlobalDemandCenterFTEs</vt:lpstr>
      <vt:lpstr>calcOpsGlobalDemandCenterSalary</vt:lpstr>
      <vt:lpstr>calcOpsITFTEs</vt:lpstr>
      <vt:lpstr>calcOpsITSalary</vt:lpstr>
      <vt:lpstr>calcOpsSupplyChainFTEs</vt:lpstr>
      <vt:lpstr>calcOpsSupplyChainSalary</vt:lpstr>
      <vt:lpstr>calcOpsTalentSalary</vt:lpstr>
      <vt:lpstr>calcOpsTotalExp</vt:lpstr>
      <vt:lpstr>calcOpsTotalFTEs</vt:lpstr>
      <vt:lpstr>calcOpsTotalMarketingExp</vt:lpstr>
      <vt:lpstr>calcOpsUnallocatedSalary</vt:lpstr>
      <vt:lpstr>CalcProd1Seg1BaseCOGSPNewUnit</vt:lpstr>
      <vt:lpstr>CalcProd1Seg1BaseCOGSPRenewalUnit</vt:lpstr>
      <vt:lpstr>CalcProd1Seg1CloudAdoption</vt:lpstr>
      <vt:lpstr>calcProd1Seg1CloudCLV</vt:lpstr>
      <vt:lpstr>calcProd1Seg1CloudCostToServe</vt:lpstr>
      <vt:lpstr>calcProd1Seg1CloudCustLifetime</vt:lpstr>
      <vt:lpstr>CalcProd1Seg1CloudMigrationChurnSubs</vt:lpstr>
      <vt:lpstr>CalcProd1Seg1CloudMigrationSubs</vt:lpstr>
      <vt:lpstr>CalcProd1Seg1CloudRenewalCOGSUnit</vt:lpstr>
      <vt:lpstr>calcProd1Seg1Consumption</vt:lpstr>
      <vt:lpstr>calcProd1Seg1CostToAcquire</vt:lpstr>
      <vt:lpstr>CalcProd1Seg1DCExpNew</vt:lpstr>
      <vt:lpstr>CalcProd1Seg1DCExpRenewal</vt:lpstr>
      <vt:lpstr>CalcProd1Seg1DefRev</vt:lpstr>
      <vt:lpstr>calcProd1Seg1DirectSalesSalaryExp</vt:lpstr>
      <vt:lpstr>calcProd1Seg1MarketingExp</vt:lpstr>
      <vt:lpstr>CalcProd1Seg1NewCOGS</vt:lpstr>
      <vt:lpstr>CalcProd1Seg1NewCustomers</vt:lpstr>
      <vt:lpstr>CalcProd1Seg1NewVolume</vt:lpstr>
      <vt:lpstr>calcProd1Seg1NonCloudCLV</vt:lpstr>
      <vt:lpstr>CalcProd1Seg1NonCloudCOGS</vt:lpstr>
      <vt:lpstr>calcProd1Seg1NonCloudCostToServe</vt:lpstr>
      <vt:lpstr>calcProd1Seg1NonCloudCustLifetime</vt:lpstr>
      <vt:lpstr>CalcProd1Seg1NonCloudRenewalCOGSUnit</vt:lpstr>
      <vt:lpstr>CalcProd1Seg1NonCloudVolume</vt:lpstr>
      <vt:lpstr>calcProd1Seg1PartnerMMScore</vt:lpstr>
      <vt:lpstr>calcProd1Seg1PartnerSalaryExp</vt:lpstr>
      <vt:lpstr>calcProd1Seg1Pct</vt:lpstr>
      <vt:lpstr>CalcProd1Seg1Price</vt:lpstr>
      <vt:lpstr>CalcProd1Seg1Prod1NewCOGSUnit</vt:lpstr>
      <vt:lpstr>CalcProd1Seg1RenewalCOGS</vt:lpstr>
      <vt:lpstr>CalcProd1Seg1RenewalCustomers</vt:lpstr>
      <vt:lpstr>CalcProd1Seg1RenewalVolume</vt:lpstr>
      <vt:lpstr>calcProd1Seg1ServicesSalaryExp</vt:lpstr>
      <vt:lpstr>calcProd1Seg1TotalCLV</vt:lpstr>
      <vt:lpstr>CalcProd1Seg1TotalCustomers</vt:lpstr>
      <vt:lpstr>CalcProd1Seg1TotalVolume</vt:lpstr>
      <vt:lpstr>CalcProd1Seg2BaseCOGSPNewUnit</vt:lpstr>
      <vt:lpstr>CalcProd1Seg2BaseCOGSPRenewalUnit</vt:lpstr>
      <vt:lpstr>CalcProd1Seg2CloudAdoption</vt:lpstr>
      <vt:lpstr>calcProd1Seg2CloudCLV</vt:lpstr>
      <vt:lpstr>calcProd1Seg2CloudCostToServe</vt:lpstr>
      <vt:lpstr>calcProd1Seg2CloudCustLifetime</vt:lpstr>
      <vt:lpstr>CalcProd1Seg2CloudMigrationChurnSubs</vt:lpstr>
      <vt:lpstr>CalcProd1Seg2CloudMigrationSubs</vt:lpstr>
      <vt:lpstr>CalcProd1Seg2CloudRenewalCOGSUnit</vt:lpstr>
      <vt:lpstr>calcProd1Seg2Consumption</vt:lpstr>
      <vt:lpstr>calcProd1Seg2CostToAcquire</vt:lpstr>
      <vt:lpstr>CalcProd1Seg2DCExpNew</vt:lpstr>
      <vt:lpstr>CalcProd1Seg2DCExpRenewal</vt:lpstr>
      <vt:lpstr>CalcProd1Seg2DefRev</vt:lpstr>
      <vt:lpstr>calcProd1Seg2DirectSalesSalaryExp</vt:lpstr>
      <vt:lpstr>calcProd1Seg2MarketingExp</vt:lpstr>
      <vt:lpstr>CalcProd1Seg2NewCOGS</vt:lpstr>
      <vt:lpstr>CalcProd1Seg2NewCustomers</vt:lpstr>
      <vt:lpstr>CalcProd1Seg2NewVolume</vt:lpstr>
      <vt:lpstr>calcProd1Seg2NonCloudCLV</vt:lpstr>
      <vt:lpstr>CalcProd1Seg2NonCloudCOGS</vt:lpstr>
      <vt:lpstr>calcProd1Seg2NonCloudCostToServe</vt:lpstr>
      <vt:lpstr>calcProd1Seg2NonCloudCustLifetime</vt:lpstr>
      <vt:lpstr>CalcProd1Seg2NonCloudRenewalCOGSUnit</vt:lpstr>
      <vt:lpstr>CalcProd1Seg2NonCloudVolume</vt:lpstr>
      <vt:lpstr>calcProd1Seg2PartnerMMScore</vt:lpstr>
      <vt:lpstr>calcProd1Seg2PartnerSalaryExp</vt:lpstr>
      <vt:lpstr>calcProd1Seg2Pct</vt:lpstr>
      <vt:lpstr>CalcProd1Seg2Price</vt:lpstr>
      <vt:lpstr>CalcProd1Seg2Prod1NewCOGSUnit</vt:lpstr>
      <vt:lpstr>CalcProd1Seg2RenewalCOGS</vt:lpstr>
      <vt:lpstr>CalcProd1Seg2RenewalCustomers</vt:lpstr>
      <vt:lpstr>CalcProd1Seg2RenewalVolume</vt:lpstr>
      <vt:lpstr>calcProd1Seg2ServicesSalaryExp</vt:lpstr>
      <vt:lpstr>calcProd1Seg2TotalCLV</vt:lpstr>
      <vt:lpstr>CalcProd1Seg2TotalCustomers</vt:lpstr>
      <vt:lpstr>CalcProd1Seg2TotalVolume</vt:lpstr>
      <vt:lpstr>CalcProd1Seg3BaseCOGSPNewUnit</vt:lpstr>
      <vt:lpstr>CalcProd1Seg3BaseCOGSPRenewalUnit</vt:lpstr>
      <vt:lpstr>CalcProd1Seg3CloudAdoption</vt:lpstr>
      <vt:lpstr>calcProd1Seg3CloudCLV</vt:lpstr>
      <vt:lpstr>calcProd1Seg3CloudCostToServe</vt:lpstr>
      <vt:lpstr>calcProd1Seg3CloudCustLifetime</vt:lpstr>
      <vt:lpstr>CalcProd1Seg3CloudMigrationSubs</vt:lpstr>
      <vt:lpstr>CalcProd1Seg3CloudRenewalCOGSUnit</vt:lpstr>
      <vt:lpstr>calcProd1Seg3Consumption</vt:lpstr>
      <vt:lpstr>calcProd1Seg3CostToAcquire</vt:lpstr>
      <vt:lpstr>CalcProd1Seg3DCExpNew</vt:lpstr>
      <vt:lpstr>CalcProd1Seg3DCExpRenewal</vt:lpstr>
      <vt:lpstr>CalcProd1Seg3DefRev</vt:lpstr>
      <vt:lpstr>calcProd1Seg3DirectSalesSalaryExp</vt:lpstr>
      <vt:lpstr>calcProd1Seg3MarketingExp</vt:lpstr>
      <vt:lpstr>CalcProd1Seg3NewCOGS</vt:lpstr>
      <vt:lpstr>CalcProd1Seg3NewVolume</vt:lpstr>
      <vt:lpstr>calcProd1Seg3NonCloudCLV</vt:lpstr>
      <vt:lpstr>CalcProd1Seg3NonCloudCOGS</vt:lpstr>
      <vt:lpstr>calcProd1Seg3NonCloudCostToServe</vt:lpstr>
      <vt:lpstr>calcProd1Seg3NonCloudCustLifetime</vt:lpstr>
      <vt:lpstr>CalcProd1Seg3NonCloudRenewalCOGSUnit</vt:lpstr>
      <vt:lpstr>CalcProd1Seg3NonCloudVolume</vt:lpstr>
      <vt:lpstr>calcProd1Seg3PartnerMMScore</vt:lpstr>
      <vt:lpstr>calcProd1Seg3PartnerSalaryExp</vt:lpstr>
      <vt:lpstr>calcProd1Seg3Pct</vt:lpstr>
      <vt:lpstr>CalcProd1Seg3Price</vt:lpstr>
      <vt:lpstr>CalcProd1Seg3Prod1NewCOGSUnit</vt:lpstr>
      <vt:lpstr>CalcProd1Seg3RenewalCOGS</vt:lpstr>
      <vt:lpstr>CalcProd1Seg3RenewalVolume</vt:lpstr>
      <vt:lpstr>calcProd1Seg3ServicesSalaryExp</vt:lpstr>
      <vt:lpstr>calcProd1Seg3TotalCLV</vt:lpstr>
      <vt:lpstr>CalcProd1Seg3TotalVolume</vt:lpstr>
      <vt:lpstr>calcProd1TotalCLV</vt:lpstr>
      <vt:lpstr>CalcProd2Seg1BaseCOGSPNewUnit</vt:lpstr>
      <vt:lpstr>CalcProd2Seg1BaseCOGSPRenewalUnit</vt:lpstr>
      <vt:lpstr>calcProd2Seg1CloudCostToServe</vt:lpstr>
      <vt:lpstr>calcProd2Seg1CloudCustLifetime</vt:lpstr>
      <vt:lpstr>calcProd2Seg1Consumption</vt:lpstr>
      <vt:lpstr>calcProd2Seg1CostToAcquire</vt:lpstr>
      <vt:lpstr>CalcProd2Seg1DCExpNew</vt:lpstr>
      <vt:lpstr>CalcProd2Seg1DCExpRenewal</vt:lpstr>
      <vt:lpstr>CalcProd2Seg1DefRev</vt:lpstr>
      <vt:lpstr>calcProd2Seg1DirectSalesSalaryExp</vt:lpstr>
      <vt:lpstr>calcProd2Seg1MarketingExp</vt:lpstr>
      <vt:lpstr>CalcProd2Seg1NewCOGS</vt:lpstr>
      <vt:lpstr>CalcProd2Seg1NewCustomers</vt:lpstr>
      <vt:lpstr>CalcProd2Seg1NewVolume</vt:lpstr>
      <vt:lpstr>calcProd2Seg1PartnerMMScore</vt:lpstr>
      <vt:lpstr>calcProd2Seg1PartnerSalaryExp</vt:lpstr>
      <vt:lpstr>calcProd2Seg1Pct</vt:lpstr>
      <vt:lpstr>CalcProd2Seg1Price</vt:lpstr>
      <vt:lpstr>CalcProd2Seg1Prod2NewCOGSUnit</vt:lpstr>
      <vt:lpstr>CalcProd2Seg1RenewalCOGS</vt:lpstr>
      <vt:lpstr>CalcProd2Seg1RenewalCOGSUnit</vt:lpstr>
      <vt:lpstr>CalcProd2Seg1RenewalCustomers</vt:lpstr>
      <vt:lpstr>CalcProd2Seg1RenewalVolume</vt:lpstr>
      <vt:lpstr>calcProd2Seg1ServicesSalaryExp</vt:lpstr>
      <vt:lpstr>calcProd2Seg1TotalCLV</vt:lpstr>
      <vt:lpstr>CalcProd2Seg1TotalCustomers</vt:lpstr>
      <vt:lpstr>CalcProd2Seg1TotalVolume</vt:lpstr>
      <vt:lpstr>CalcProd2Seg2BaseCOGSPNewUnit</vt:lpstr>
      <vt:lpstr>CalcProd2Seg2BaseCOGSPRenewalUnit</vt:lpstr>
      <vt:lpstr>calcProd2Seg2CloudCostToServe</vt:lpstr>
      <vt:lpstr>calcProd2Seg2CloudCustLifetime</vt:lpstr>
      <vt:lpstr>calcProd2Seg2Consumption</vt:lpstr>
      <vt:lpstr>calcProd2Seg2CostToAcquire</vt:lpstr>
      <vt:lpstr>CalcProd2Seg2DCExpNew</vt:lpstr>
      <vt:lpstr>CalcProd2Seg2DCExpRenewal</vt:lpstr>
      <vt:lpstr>CalcProd2Seg2DefRev</vt:lpstr>
      <vt:lpstr>calcProd2Seg2DirectSalesSalaryExp</vt:lpstr>
      <vt:lpstr>calcProd2Seg2MarketingExp</vt:lpstr>
      <vt:lpstr>CalcProd2Seg2NewCOGS</vt:lpstr>
      <vt:lpstr>CalcProd2Seg2NewCustomers</vt:lpstr>
      <vt:lpstr>CalcProd2Seg2NewVolume</vt:lpstr>
      <vt:lpstr>calcProd2Seg2PartnerMMScore</vt:lpstr>
      <vt:lpstr>calcProd2Seg2PartnerSalaryExp</vt:lpstr>
      <vt:lpstr>calcProd2Seg2Pct</vt:lpstr>
      <vt:lpstr>CalcProd2Seg2Price</vt:lpstr>
      <vt:lpstr>CalcProd2Seg2Prod2NewCOGSUnit</vt:lpstr>
      <vt:lpstr>CalcProd2Seg2RenewalCOGS</vt:lpstr>
      <vt:lpstr>CalcProd2Seg2RenewalCOGSUnit</vt:lpstr>
      <vt:lpstr>CalcProd2Seg2RenewalCustomers</vt:lpstr>
      <vt:lpstr>CalcProd2Seg2RenewalVolume</vt:lpstr>
      <vt:lpstr>calcProd2Seg2ServicesSalaryExp</vt:lpstr>
      <vt:lpstr>calcProd2Seg2TotalCLV</vt:lpstr>
      <vt:lpstr>CalcProd2Seg2TotalCustomers</vt:lpstr>
      <vt:lpstr>CalcProd2Seg2TotalVolume</vt:lpstr>
      <vt:lpstr>calcProd2TotalCLV</vt:lpstr>
      <vt:lpstr>calcProd3Seg1BaseMatExp</vt:lpstr>
      <vt:lpstr>calcProd3Seg1CloudCostToServe</vt:lpstr>
      <vt:lpstr>calcProd3Seg1CloudCustLifetime</vt:lpstr>
      <vt:lpstr>calcProd3Seg1COGSPUnit</vt:lpstr>
      <vt:lpstr>calcProd3Seg1CostToAcquire</vt:lpstr>
      <vt:lpstr>calcProd3Seg1DirectSalesSalaryExp</vt:lpstr>
      <vt:lpstr>calcProd3Seg1EndingShare</vt:lpstr>
      <vt:lpstr>calcProd3Seg1LaborExp</vt:lpstr>
      <vt:lpstr>calcProd3Seg1MarketingExp</vt:lpstr>
      <vt:lpstr>calcProd3Seg1MatExp</vt:lpstr>
      <vt:lpstr>calcProd3Seg1MatExpCOGSPUnit</vt:lpstr>
      <vt:lpstr>calcProd3Seg1NewUnits</vt:lpstr>
      <vt:lpstr>calcProd3Seg1PartnerMMScore</vt:lpstr>
      <vt:lpstr>calcProd3Seg1PartnerSalaryExp</vt:lpstr>
      <vt:lpstr>calcProd3Seg1Price</vt:lpstr>
      <vt:lpstr>calcProd3Seg1Revenue</vt:lpstr>
      <vt:lpstr>calcProd3Seg1ServicesSalaryExp</vt:lpstr>
      <vt:lpstr>calcProd3Seg1TotalCLV</vt:lpstr>
      <vt:lpstr>calcProd3Seg1TotalCOGS</vt:lpstr>
      <vt:lpstr>calcProd3Seg2BaseMatExp</vt:lpstr>
      <vt:lpstr>calcProd3Seg2CloudCostToServe</vt:lpstr>
      <vt:lpstr>calcProd3Seg2CloudCustLifetime</vt:lpstr>
      <vt:lpstr>calcProd3Seg2COGSPUnit</vt:lpstr>
      <vt:lpstr>calcProd3Seg2CostToAcquire</vt:lpstr>
      <vt:lpstr>calcProd3Seg2DirectSalesSalaryExp</vt:lpstr>
      <vt:lpstr>calcProd3Seg2EndingShare</vt:lpstr>
      <vt:lpstr>calcProd3Seg2LaborExp</vt:lpstr>
      <vt:lpstr>calcProd3Seg2MarketingExp</vt:lpstr>
      <vt:lpstr>calcProd3Seg2MatExp</vt:lpstr>
      <vt:lpstr>calcProd3Seg2NewUnits</vt:lpstr>
      <vt:lpstr>calcProd3Seg2PartnerMMScore</vt:lpstr>
      <vt:lpstr>calcProd3Seg2PartnerSalaryExp</vt:lpstr>
      <vt:lpstr>calcProd3Seg2Price</vt:lpstr>
      <vt:lpstr>calcProd3Seg2Revenue</vt:lpstr>
      <vt:lpstr>calcProd3Seg2ServicesSalaryExp</vt:lpstr>
      <vt:lpstr>calcProd3Seg2TotalCLV</vt:lpstr>
      <vt:lpstr>calcProd3Seg2TotalCOGS</vt:lpstr>
      <vt:lpstr>calcProd3Seg3BaseMatExp</vt:lpstr>
      <vt:lpstr>calcProd3Seg3CloudCostToServe</vt:lpstr>
      <vt:lpstr>calcProd3Seg3CloudCustLifetime</vt:lpstr>
      <vt:lpstr>calcProd3Seg3COGSPUnit</vt:lpstr>
      <vt:lpstr>calcProd3Seg3CostToAcquire</vt:lpstr>
      <vt:lpstr>calcProd3Seg3DirectSalesSalaryExp</vt:lpstr>
      <vt:lpstr>calcProd3Seg3EndingShare</vt:lpstr>
      <vt:lpstr>calcProd3Seg3LaborExp</vt:lpstr>
      <vt:lpstr>calcProd3Seg3MarketingExp</vt:lpstr>
      <vt:lpstr>calcProd3Seg3MatExp</vt:lpstr>
      <vt:lpstr>calcProd3Seg3NewUnits</vt:lpstr>
      <vt:lpstr>calcProd3Seg3PartnerMMScore</vt:lpstr>
      <vt:lpstr>calcProd3Seg3PartnerSalaryExp</vt:lpstr>
      <vt:lpstr>calcProd3Seg3Price</vt:lpstr>
      <vt:lpstr>calcProd3Seg3Revenue</vt:lpstr>
      <vt:lpstr>calcProd3Seg3ServicesSalaryExp</vt:lpstr>
      <vt:lpstr>calcProd3Seg3TotalCLV</vt:lpstr>
      <vt:lpstr>calcProd3Seg3TotalCOGS</vt:lpstr>
      <vt:lpstr>calcProd3TotalCLV</vt:lpstr>
      <vt:lpstr>calcRenRateProd1Seg1RenewalRateAdj</vt:lpstr>
      <vt:lpstr>calcRenRateProd1Seg1RenewalRateEnd</vt:lpstr>
      <vt:lpstr>calcRenRateProd1Seg2RenewalRateAdj</vt:lpstr>
      <vt:lpstr>calcRenRateProd1Seg2RenewalRateEnd</vt:lpstr>
      <vt:lpstr>calcRenRateProd1Seg3RenewalRateAdj</vt:lpstr>
      <vt:lpstr>calcRenRateProd1Seg3RenewalRateEnd</vt:lpstr>
      <vt:lpstr>calcRenRateProd2Seg1RenewalRateAdj</vt:lpstr>
      <vt:lpstr>calcRenRateProd2Seg1RenewalRateEnd</vt:lpstr>
      <vt:lpstr>calcRenRateProd2Seg2RenewalRateAdj</vt:lpstr>
      <vt:lpstr>calcRenRateProd2Seg2RenewalRateEnd</vt:lpstr>
      <vt:lpstr>calcSeg1DirectSalesforceMMScore</vt:lpstr>
      <vt:lpstr>calcSeg1TotalCLV</vt:lpstr>
      <vt:lpstr>calcSeg2DirectSalesforceMMScore</vt:lpstr>
      <vt:lpstr>calcSeg2TotalCLV</vt:lpstr>
      <vt:lpstr>calcSeg3DirectSalesforceMMScore</vt:lpstr>
      <vt:lpstr>calcSeg3TotalCLV</vt:lpstr>
      <vt:lpstr>calcServicesProd1Seg1Attach</vt:lpstr>
      <vt:lpstr>calcServicesProd1Seg1AttachAdj</vt:lpstr>
      <vt:lpstr>calcServicesProd1Seg1NewCOGS</vt:lpstr>
      <vt:lpstr>calcServicesProd1Seg1NewCOGSPContract</vt:lpstr>
      <vt:lpstr>calcServicesProd1Seg1NewContracts</vt:lpstr>
      <vt:lpstr>calcServicesProd1Seg1NewRev</vt:lpstr>
      <vt:lpstr>calcServicesProd1Seg1Renewal</vt:lpstr>
      <vt:lpstr>calcServicesProd1Seg1RenewalAdj</vt:lpstr>
      <vt:lpstr>calcServicesProd1Seg1RenewalCOGS</vt:lpstr>
      <vt:lpstr>calcServicesProd1Seg1RenewalCOGSPContract</vt:lpstr>
      <vt:lpstr>calcServicesProd1Seg1RenewalContracts</vt:lpstr>
      <vt:lpstr>calcServicesProd1Seg1RenewalRev</vt:lpstr>
      <vt:lpstr>calcServicesProd1Seg1TotalCOGS</vt:lpstr>
      <vt:lpstr>calcServicesProd1Seg1TotalRev</vt:lpstr>
      <vt:lpstr>calcServicesProd1Seg2Attach</vt:lpstr>
      <vt:lpstr>calcServicesProd1Seg2AttachAdj</vt:lpstr>
      <vt:lpstr>calcServicesProd1Seg2NewCOGS</vt:lpstr>
      <vt:lpstr>calcServicesProd1Seg2NewCOGSPContract</vt:lpstr>
      <vt:lpstr>calcServicesProd1Seg2NewContracts</vt:lpstr>
      <vt:lpstr>calcServicesProd1Seg2NewRev</vt:lpstr>
      <vt:lpstr>calcServicesProd1Seg2Renewal</vt:lpstr>
      <vt:lpstr>calcServicesProd1Seg2RenewalAdj</vt:lpstr>
      <vt:lpstr>calcServicesProd1Seg2RenewalCOGS</vt:lpstr>
      <vt:lpstr>calcServicesProd1Seg2RenewalCOGSPContract</vt:lpstr>
      <vt:lpstr>calcServicesProd1Seg2RenewalContracts</vt:lpstr>
      <vt:lpstr>calcServicesProd1Seg2RenewalRev</vt:lpstr>
      <vt:lpstr>calcServicesProd1Seg2TotalCOGS</vt:lpstr>
      <vt:lpstr>calcServicesProd1Seg2TotalRev</vt:lpstr>
      <vt:lpstr>calcServicesProd2Seg1Attach</vt:lpstr>
      <vt:lpstr>calcServicesProd2Seg1AttachAdj</vt:lpstr>
      <vt:lpstr>calcServicesProd2Seg1NewCOGS</vt:lpstr>
      <vt:lpstr>calcServicesProd2Seg1NewCOGSPContract</vt:lpstr>
      <vt:lpstr>calcServicesProd2Seg1NewContracts</vt:lpstr>
      <vt:lpstr>calcServicesProd2Seg1NewRev</vt:lpstr>
      <vt:lpstr>calcServicesProd2Seg1Renewal</vt:lpstr>
      <vt:lpstr>calcServicesProd2Seg1RenewalAdj</vt:lpstr>
      <vt:lpstr>calcServicesProd2Seg1RenewalCOGS</vt:lpstr>
      <vt:lpstr>calcServicesProd2Seg1RenewalCOGSPContract</vt:lpstr>
      <vt:lpstr>calcServicesProd2Seg1RenewalContracts</vt:lpstr>
      <vt:lpstr>calcServicesProd2Seg1RenewalRev</vt:lpstr>
      <vt:lpstr>calcServicesProd2Seg1TotalCOGS</vt:lpstr>
      <vt:lpstr>calcServicesProd2Seg1TotalRev</vt:lpstr>
      <vt:lpstr>calcServicesProd2Seg2Attach</vt:lpstr>
      <vt:lpstr>calcServicesProd2Seg2AttachAdj</vt:lpstr>
      <vt:lpstr>calcServicesProd2Seg2NewCOGS</vt:lpstr>
      <vt:lpstr>calcServicesProd2Seg2NewCOGSPContract</vt:lpstr>
      <vt:lpstr>calcServicesProd2Seg2NewContracts</vt:lpstr>
      <vt:lpstr>calcServicesProd2Seg2NewRev</vt:lpstr>
      <vt:lpstr>calcServicesProd2Seg2Renewal</vt:lpstr>
      <vt:lpstr>calcServicesProd2Seg2RenewalAdj</vt:lpstr>
      <vt:lpstr>calcServicesProd2Seg2RenewalCOGS</vt:lpstr>
      <vt:lpstr>calcServicesProd2Seg2RenewalCOGSPContract</vt:lpstr>
      <vt:lpstr>calcServicesProd2Seg2RenewalContracts</vt:lpstr>
      <vt:lpstr>calcServicesProd2Seg2RenewalRev</vt:lpstr>
      <vt:lpstr>calcServicesProd2Seg2TotalCOGS</vt:lpstr>
      <vt:lpstr>calcServicesProd2Seg2TotalRev</vt:lpstr>
      <vt:lpstr>CalcTotalCloudSubs</vt:lpstr>
      <vt:lpstr>calcTotalCLV</vt:lpstr>
      <vt:lpstr>calcTotalCollabFTEs</vt:lpstr>
      <vt:lpstr>CalcTotalDCExp</vt:lpstr>
      <vt:lpstr>calcTotalFTEs</vt:lpstr>
      <vt:lpstr>CalcTotalSubs</vt:lpstr>
      <vt:lpstr>calcWHI</vt:lpstr>
      <vt:lpstr>CalibrateAdj</vt:lpstr>
      <vt:lpstr>CalibrateBalancing</vt:lpstr>
      <vt:lpstr>CalibrateCbal</vt:lpstr>
      <vt:lpstr>CalibrateCLV</vt:lpstr>
      <vt:lpstr>CalibrateCollabIntReadiness</vt:lpstr>
      <vt:lpstr>CalibrateConsumption</vt:lpstr>
      <vt:lpstr>CalibrateCPE</vt:lpstr>
      <vt:lpstr>CalibrateCustSuccess</vt:lpstr>
      <vt:lpstr>CalibrateDataCenter</vt:lpstr>
      <vt:lpstr>CalibrateDec</vt:lpstr>
      <vt:lpstr>CalibrateEndingLevels</vt:lpstr>
      <vt:lpstr>CalibrateExecution</vt:lpstr>
      <vt:lpstr>CalibrateFinPNL</vt:lpstr>
      <vt:lpstr>CalibrateFTEsExpenses</vt:lpstr>
      <vt:lpstr>CalibrateMMCompetitor</vt:lpstr>
      <vt:lpstr>CalibrateObal</vt:lpstr>
      <vt:lpstr>CalibrateParam</vt:lpstr>
      <vt:lpstr>CalibrateRenRate</vt:lpstr>
      <vt:lpstr>CalibrateServices</vt:lpstr>
      <vt:lpstr>CalibrateSubscriptions</vt:lpstr>
      <vt:lpstr>CalibrateUnits</vt:lpstr>
      <vt:lpstr>CalibrateWHI</vt:lpstr>
      <vt:lpstr>CalibrateWobblers</vt:lpstr>
      <vt:lpstr>cbal_Paste</vt:lpstr>
      <vt:lpstr>cbalAvgConsumption</vt:lpstr>
      <vt:lpstr>cbalAvgRenRate</vt:lpstr>
      <vt:lpstr>cbalCloudAdoption</vt:lpstr>
      <vt:lpstr>cbalCollab</vt:lpstr>
      <vt:lpstr>cbalCommercialDirectSalesFTEs</vt:lpstr>
      <vt:lpstr>cbalCommercialInsideSalesFTEs</vt:lpstr>
      <vt:lpstr>cbalCommercialPartner1Budget</vt:lpstr>
      <vt:lpstr>cbalCommercialPartner1FTEs</vt:lpstr>
      <vt:lpstr>cbalCommercialPartner1Pct</vt:lpstr>
      <vt:lpstr>cbalCommercialPartner2Budget</vt:lpstr>
      <vt:lpstr>cbalCommercialPartner2FTEs</vt:lpstr>
      <vt:lpstr>cbalCommercialPartner2Pct</vt:lpstr>
      <vt:lpstr>cbalCommercialPartner3Budget</vt:lpstr>
      <vt:lpstr>cbalCommercialPartner3FTEs</vt:lpstr>
      <vt:lpstr>cbalCommercialPartner3Pct</vt:lpstr>
      <vt:lpstr>cbalCommercialPartner4Budget</vt:lpstr>
      <vt:lpstr>cbalCommercialPartner4FTEs</vt:lpstr>
      <vt:lpstr>cbalCommercialPartner4Pct</vt:lpstr>
      <vt:lpstr>cbalCommercialPartnerDevelopment</vt:lpstr>
      <vt:lpstr>cbalCommercialPartnerEducation</vt:lpstr>
      <vt:lpstr>cbalCommercialPartnerIncentives</vt:lpstr>
      <vt:lpstr>cbalCommercialProd1Marketing</vt:lpstr>
      <vt:lpstr>cbalCommercialProd1MarketingPct</vt:lpstr>
      <vt:lpstr>cbalCommercialProd1Price</vt:lpstr>
      <vt:lpstr>cbalCommercialProd2Marketing</vt:lpstr>
      <vt:lpstr>cbalCommercialProd2MarketingPct</vt:lpstr>
      <vt:lpstr>cbalCommercialProd2Price</vt:lpstr>
      <vt:lpstr>cbalCommercialProd3Marketing</vt:lpstr>
      <vt:lpstr>cbalCommercialProd3MarketingPct</vt:lpstr>
      <vt:lpstr>cbalCommercialProd3Price</vt:lpstr>
      <vt:lpstr>cbalCommercialServicesFTEs</vt:lpstr>
      <vt:lpstr>cbalCommercialSkill1</vt:lpstr>
      <vt:lpstr>cbalCommercialSkill2</vt:lpstr>
      <vt:lpstr>cbalCommercialSkill3</vt:lpstr>
      <vt:lpstr>cbalCommercialTotalMarketing</vt:lpstr>
      <vt:lpstr>cbalCommercialTotalMarketingPct</vt:lpstr>
      <vt:lpstr>cbalCommercialTotalPartnerBudget</vt:lpstr>
      <vt:lpstr>cbalCommercialTotalPartnerFTEs</vt:lpstr>
      <vt:lpstr>cbalConsumerDirectSalesFTEs</vt:lpstr>
      <vt:lpstr>cbalConsumerInsideSalesFTEs</vt:lpstr>
      <vt:lpstr>cbalConsumerPartner4Budget</vt:lpstr>
      <vt:lpstr>cbalConsumerPartner4FTEs</vt:lpstr>
      <vt:lpstr>cbalConsumerPartner4Pct</vt:lpstr>
      <vt:lpstr>cbalConsumerPartner5Budget</vt:lpstr>
      <vt:lpstr>cbalConsumerPartner5FTEs</vt:lpstr>
      <vt:lpstr>cbalConsumerPartner5Pct</vt:lpstr>
      <vt:lpstr>cbalConsumerPartner6Budget</vt:lpstr>
      <vt:lpstr>cbalConsumerPartner6FTEs</vt:lpstr>
      <vt:lpstr>cbalConsumerPartner6Pct</vt:lpstr>
      <vt:lpstr>cbalConsumerPartnerDevelopment</vt:lpstr>
      <vt:lpstr>cbalConsumerPartnerEducation</vt:lpstr>
      <vt:lpstr>cbalConsumerPartnerIncentives</vt:lpstr>
      <vt:lpstr>cbalConsumerProd1Marketing</vt:lpstr>
      <vt:lpstr>cbalConsumerProd1MarketingPct</vt:lpstr>
      <vt:lpstr>cbalConsumerProd1Price</vt:lpstr>
      <vt:lpstr>cbalConsumerProd3Marketing</vt:lpstr>
      <vt:lpstr>cbalConsumerProd3MarketingPct</vt:lpstr>
      <vt:lpstr>cbalConsumerProd3Price</vt:lpstr>
      <vt:lpstr>cbalConsumerServicesFTEs</vt:lpstr>
      <vt:lpstr>cbalConsumerSkill1</vt:lpstr>
      <vt:lpstr>cbalConsumerSkill2</vt:lpstr>
      <vt:lpstr>cbalConsumerTotalMarketing</vt:lpstr>
      <vt:lpstr>cbalConsumerTotalMarketingPct</vt:lpstr>
      <vt:lpstr>cbalConsumerTotalPartnerBudget</vt:lpstr>
      <vt:lpstr>cbalConsumerTotalPartnerFTEs</vt:lpstr>
      <vt:lpstr>cbalCPE</vt:lpstr>
      <vt:lpstr>cbalCustSuccess</vt:lpstr>
      <vt:lpstr>cbalCustSuccessCSAT</vt:lpstr>
      <vt:lpstr>cbalCustSuccessEE</vt:lpstr>
      <vt:lpstr>cbalCustSuccessOpMargin</vt:lpstr>
      <vt:lpstr>cbalCustSuccessRev</vt:lpstr>
      <vt:lpstr>cbalEGInteroperability</vt:lpstr>
      <vt:lpstr>cbalEGInteroperabilityDec</vt:lpstr>
      <vt:lpstr>cbalEGProd1Offering1</vt:lpstr>
      <vt:lpstr>cbalEGProd1Offering1Dec</vt:lpstr>
      <vt:lpstr>cbalEGProd1Offering2</vt:lpstr>
      <vt:lpstr>cbalEGProd1Offering2Dec</vt:lpstr>
      <vt:lpstr>cbalEGProd2Offering1</vt:lpstr>
      <vt:lpstr>cbalEGProd2Offering1Dec</vt:lpstr>
      <vt:lpstr>cbalEGProd2Offering2</vt:lpstr>
      <vt:lpstr>cbalEGProd2Offering2Dec</vt:lpstr>
      <vt:lpstr>cbalEGProd3Offering1</vt:lpstr>
      <vt:lpstr>cbalEGProd3Offering1Dec</vt:lpstr>
      <vt:lpstr>cbalEGProd3Offering2</vt:lpstr>
      <vt:lpstr>cbalEGProd3Offering2Dec</vt:lpstr>
      <vt:lpstr>cbalEGScalability</vt:lpstr>
      <vt:lpstr>cbalEGScalabilityDec</vt:lpstr>
      <vt:lpstr>cbalEGSecurity</vt:lpstr>
      <vt:lpstr>cbalEGSecurityDec</vt:lpstr>
      <vt:lpstr>cbalETUs</vt:lpstr>
      <vt:lpstr>cbalExecution</vt:lpstr>
      <vt:lpstr>cbalHeadcount</vt:lpstr>
      <vt:lpstr>cbalInternalReadiness</vt:lpstr>
      <vt:lpstr>cbalNewHireProductivity</vt:lpstr>
      <vt:lpstr>cbalOpsCollabFTEs</vt:lpstr>
      <vt:lpstr>cbalOpsDataCenter</vt:lpstr>
      <vt:lpstr>cbalOpsDataCenterUtilization</vt:lpstr>
      <vt:lpstr>cbalOpsGlobalDemandCenterFTEs</vt:lpstr>
      <vt:lpstr>cbalOpsITFTEs</vt:lpstr>
      <vt:lpstr>cbalOpsProd1Seg1Share</vt:lpstr>
      <vt:lpstr>cbalOpsProd1Seg2Share</vt:lpstr>
      <vt:lpstr>cbalOpsProd1Seg3Share</vt:lpstr>
      <vt:lpstr>cbalOpsProd2Seg1Share</vt:lpstr>
      <vt:lpstr>cbalOpsProd2Seg2Share</vt:lpstr>
      <vt:lpstr>cbalOpsProd3Seg1Share</vt:lpstr>
      <vt:lpstr>cbalOpsProd3Seg2Share</vt:lpstr>
      <vt:lpstr>cbalOpsProd3Seg3Share</vt:lpstr>
      <vt:lpstr>cbalOpsSupplyChainFTEs</vt:lpstr>
      <vt:lpstr>cbalOpsTotalMarketing</vt:lpstr>
      <vt:lpstr>cbalPartner1Pct</vt:lpstr>
      <vt:lpstr>cbalPartner2Pct</vt:lpstr>
      <vt:lpstr>cbalPartner3Pct</vt:lpstr>
      <vt:lpstr>cbalPartner5Pct</vt:lpstr>
      <vt:lpstr>cbalPartner6Pct</vt:lpstr>
      <vt:lpstr>cbalProd1BaseNewCOGS</vt:lpstr>
      <vt:lpstr>cbalProd1BaseRenewalCOGS</vt:lpstr>
      <vt:lpstr>cbalProd1Seg1CloudAdoption</vt:lpstr>
      <vt:lpstr>cbalProd1Seg1Consumption</vt:lpstr>
      <vt:lpstr>cbalProd1Seg1DefRev</vt:lpstr>
      <vt:lpstr>cbalProd1Seg1NewCustomers</vt:lpstr>
      <vt:lpstr>cbalProd1Seg1NewSubs</vt:lpstr>
      <vt:lpstr>cbalProd1Seg1NonCloudSubs</vt:lpstr>
      <vt:lpstr>cbalProd1Seg1RenewedCustomers</vt:lpstr>
      <vt:lpstr>cbalProd1Seg1RenewedSubs</vt:lpstr>
      <vt:lpstr>cbalProd1Seg1RenRate</vt:lpstr>
      <vt:lpstr>cbalProd1Seg1ServicesAttachRate</vt:lpstr>
      <vt:lpstr>cbalProd1Seg1ServicesRenRate</vt:lpstr>
      <vt:lpstr>cbalProd1Seg1TotalCustomers</vt:lpstr>
      <vt:lpstr>cbalProd1Seg1TotalSubs</vt:lpstr>
      <vt:lpstr>cbalProd1Seg2CloudAdoption</vt:lpstr>
      <vt:lpstr>cbalProd1Seg2Consumption</vt:lpstr>
      <vt:lpstr>cbalProd1Seg2DefRev</vt:lpstr>
      <vt:lpstr>cbalProd1Seg2NewCustomers</vt:lpstr>
      <vt:lpstr>cbalProd1Seg2NewSubs</vt:lpstr>
      <vt:lpstr>cbalProd1Seg2NonCloudSubs</vt:lpstr>
      <vt:lpstr>cbalProd1Seg2RenewedCustomers</vt:lpstr>
      <vt:lpstr>cbalProd1Seg2RenewedSubs</vt:lpstr>
      <vt:lpstr>cbalProd1Seg2RenRate</vt:lpstr>
      <vt:lpstr>cbalProd1Seg2ServicesAttachRate</vt:lpstr>
      <vt:lpstr>cbalProd1Seg2ServicesRenRate</vt:lpstr>
      <vt:lpstr>cbalProd1Seg2TotalCustomers</vt:lpstr>
      <vt:lpstr>cbalProd1Seg2TotalSubs</vt:lpstr>
      <vt:lpstr>cbalProd1Seg3CloudAdoption</vt:lpstr>
      <vt:lpstr>cbalProd1Seg3Consumption</vt:lpstr>
      <vt:lpstr>cbalProd1Seg3DefRev</vt:lpstr>
      <vt:lpstr>cbalProd1Seg3NewSubs</vt:lpstr>
      <vt:lpstr>cbalProd1Seg3NonCloudSubs</vt:lpstr>
      <vt:lpstr>cbalProd1Seg3RenewedSubs</vt:lpstr>
      <vt:lpstr>cbalProd1Seg3RenRate</vt:lpstr>
      <vt:lpstr>cbalProd1Seg3TotalSubs</vt:lpstr>
      <vt:lpstr>cbalProd1TotalCLV</vt:lpstr>
      <vt:lpstr>cbalProd2BaseNewCOGS</vt:lpstr>
      <vt:lpstr>cbalProd2BaseRenewalCOGS</vt:lpstr>
      <vt:lpstr>cbalProd2Seg1Consumption</vt:lpstr>
      <vt:lpstr>cbalProd2Seg1DefRev</vt:lpstr>
      <vt:lpstr>cbalProd2Seg1NewCustomers</vt:lpstr>
      <vt:lpstr>cbalProd2Seg1NewSubs</vt:lpstr>
      <vt:lpstr>cbalProd2Seg1RenewedCustomers</vt:lpstr>
      <vt:lpstr>cbalProd2Seg1RenewedSubs</vt:lpstr>
      <vt:lpstr>cbalProd2Seg1RenRate</vt:lpstr>
      <vt:lpstr>cbalProd2Seg1ServicesAttachRate</vt:lpstr>
      <vt:lpstr>cbalProd2Seg1ServicesRenRate</vt:lpstr>
      <vt:lpstr>cbalProd2Seg1TotalCustomers</vt:lpstr>
      <vt:lpstr>cbalProd2Seg1TotalSubs</vt:lpstr>
      <vt:lpstr>cbalProd2Seg2Consumption</vt:lpstr>
      <vt:lpstr>cbalProd2Seg2DefRev</vt:lpstr>
      <vt:lpstr>cbalProd2Seg2NewCustomers</vt:lpstr>
      <vt:lpstr>cbalProd2Seg2NewSubs</vt:lpstr>
      <vt:lpstr>cbalProd2Seg2RenewedCustomers</vt:lpstr>
      <vt:lpstr>cbalProd2Seg2RenewedSubs</vt:lpstr>
      <vt:lpstr>cbalProd2Seg2RenRate</vt:lpstr>
      <vt:lpstr>cbalProd2Seg2ServicesAttachRate</vt:lpstr>
      <vt:lpstr>cbalProd2Seg2ServicesRenRate</vt:lpstr>
      <vt:lpstr>cbalProd2Seg2TotalCustomers</vt:lpstr>
      <vt:lpstr>cbalProd2Seg2TotalSubs</vt:lpstr>
      <vt:lpstr>cbalProd2TotalCLV</vt:lpstr>
      <vt:lpstr>cbalProd3BaseLaborCOGS</vt:lpstr>
      <vt:lpstr>cbalProd3BaseMatCOGS</vt:lpstr>
      <vt:lpstr>cbalProd3TotalCLV</vt:lpstr>
      <vt:lpstr>cbalTotalCloudSubs</vt:lpstr>
      <vt:lpstr>cbalTotalCLV</vt:lpstr>
      <vt:lpstr>cbalTotalRev</vt:lpstr>
      <vt:lpstr>cbalTotalRevGrowth</vt:lpstr>
      <vt:lpstr>cbalTotalScore</vt:lpstr>
      <vt:lpstr>cbalWHI</vt:lpstr>
      <vt:lpstr>cbalWobbler1R1</vt:lpstr>
      <vt:lpstr>cbalWobbler1R2</vt:lpstr>
      <vt:lpstr>cbalWobbler1R3</vt:lpstr>
      <vt:lpstr>cbalWobbler2R1</vt:lpstr>
      <vt:lpstr>cbalWobbler2R2</vt:lpstr>
      <vt:lpstr>cbalWobbler2R3</vt:lpstr>
      <vt:lpstr>cbalWobbler3R1</vt:lpstr>
      <vt:lpstr>cbalWobbler3R2</vt:lpstr>
      <vt:lpstr>cbalWobbler3R3</vt:lpstr>
      <vt:lpstr>cbalWobbler4R1</vt:lpstr>
      <vt:lpstr>cbalWobbler4R2</vt:lpstr>
      <vt:lpstr>cbalWobbler4R3</vt:lpstr>
      <vt:lpstr>cbalWobbler5R1</vt:lpstr>
      <vt:lpstr>cbalWobbler5R2</vt:lpstr>
      <vt:lpstr>cbalWobbler5R3</vt:lpstr>
      <vt:lpstr>cbalWobbler6R1</vt:lpstr>
      <vt:lpstr>cbalWobbler6R2</vt:lpstr>
      <vt:lpstr>cbalWobbler6R3</vt:lpstr>
      <vt:lpstr>cbalWobbler7R1</vt:lpstr>
      <vt:lpstr>cbalWobbler7R2</vt:lpstr>
      <vt:lpstr>cbalWobbler7R3</vt:lpstr>
      <vt:lpstr>cbalWobbler8R1</vt:lpstr>
      <vt:lpstr>ClearAdjRange1</vt:lpstr>
      <vt:lpstr>ClearAdjRange10</vt:lpstr>
      <vt:lpstr>ClearAdjRange11</vt:lpstr>
      <vt:lpstr>ClearAdjRange12</vt:lpstr>
      <vt:lpstr>ClearAdjRange13</vt:lpstr>
      <vt:lpstr>ClearAdjRange14</vt:lpstr>
      <vt:lpstr>ClearAdjRange15</vt:lpstr>
      <vt:lpstr>ClearAdjRange16</vt:lpstr>
      <vt:lpstr>ClearAdjRange17</vt:lpstr>
      <vt:lpstr>ClearAdjRange18</vt:lpstr>
      <vt:lpstr>ClearAdjRange19</vt:lpstr>
      <vt:lpstr>ClearAdjRange2</vt:lpstr>
      <vt:lpstr>ClearAdjRange20</vt:lpstr>
      <vt:lpstr>ClearAdjRange21</vt:lpstr>
      <vt:lpstr>ClearAdjRange22</vt:lpstr>
      <vt:lpstr>ClearAdjRange23</vt:lpstr>
      <vt:lpstr>ClearAdjRange24</vt:lpstr>
      <vt:lpstr>ClearAdjRange25</vt:lpstr>
      <vt:lpstr>ClearAdjRange26</vt:lpstr>
      <vt:lpstr>ClearAdjRange3</vt:lpstr>
      <vt:lpstr>ClearAdjRange4</vt:lpstr>
      <vt:lpstr>ClearAdjRange5</vt:lpstr>
      <vt:lpstr>ClearAdjRange6</vt:lpstr>
      <vt:lpstr>ClearAdjRange7</vt:lpstr>
      <vt:lpstr>ClearAdjRange8</vt:lpstr>
      <vt:lpstr>ClearAdjRange9</vt:lpstr>
      <vt:lpstr>ClearDecisionsLabelsCopy</vt:lpstr>
      <vt:lpstr>cnstComma</vt:lpstr>
      <vt:lpstr>cnstDoubleQuote</vt:lpstr>
      <vt:lpstr>cnstMillion</vt:lpstr>
      <vt:lpstr>cnstSingleQuote</vt:lpstr>
      <vt:lpstr>CommercialWCBDeselectedButton</vt:lpstr>
      <vt:lpstr>CommercialWCBRange1</vt:lpstr>
      <vt:lpstr>CommercialWCBRange2</vt:lpstr>
      <vt:lpstr>CommercialWCBRange4</vt:lpstr>
      <vt:lpstr>CommercialWCBRange5</vt:lpstr>
      <vt:lpstr>CommercialWCBSelectedButton</vt:lpstr>
      <vt:lpstr>CommercialWCBTotalButtons</vt:lpstr>
      <vt:lpstr>ConsumerMCBDeselectedButton</vt:lpstr>
      <vt:lpstr>ConsumerMCBRange1</vt:lpstr>
      <vt:lpstr>ConsumerMCBRange2</vt:lpstr>
      <vt:lpstr>ConsumerMCBRange4</vt:lpstr>
      <vt:lpstr>ConsumerMCBSelectedButton</vt:lpstr>
      <vt:lpstr>ConsumerMCBTotalButtons</vt:lpstr>
      <vt:lpstr>core_FilePrefix</vt:lpstr>
      <vt:lpstr>D76tlOutputCommercialLabelResource1</vt:lpstr>
      <vt:lpstr>D76tlOutputCommercialLabelResource2</vt:lpstr>
      <vt:lpstr>D76tlOutputCommercialLabelResource3</vt:lpstr>
      <vt:lpstr>dataList0to100</vt:lpstr>
      <vt:lpstr>dataList0to100Pct</vt:lpstr>
      <vt:lpstr>dataList0to15Pct</vt:lpstr>
      <vt:lpstr>datalist0to5</vt:lpstr>
      <vt:lpstr>dataList0to500</vt:lpstr>
      <vt:lpstr>dataList0to50Pct</vt:lpstr>
      <vt:lpstr>dataListDataCenter</vt:lpstr>
      <vt:lpstr>dataListPricing</vt:lpstr>
      <vt:lpstr>dataListTotalMarketing</vt:lpstr>
      <vt:lpstr>dataListWobbler1</vt:lpstr>
      <vt:lpstr>dataListWobbler2</vt:lpstr>
      <vt:lpstr>dataListWobbler3</vt:lpstr>
      <vt:lpstr>dataNumTeams</vt:lpstr>
      <vt:lpstr>dataProd1CloudPct</vt:lpstr>
      <vt:lpstr>dataProd1NonCloudPct</vt:lpstr>
      <vt:lpstr>dataProd1Price</vt:lpstr>
      <vt:lpstr>dataProd1Revenue</vt:lpstr>
      <vt:lpstr>dataProd1Seg1CloudRev</vt:lpstr>
      <vt:lpstr>dataProd1Seg1CloudRevGrowth</vt:lpstr>
      <vt:lpstr>dataProd1Seg1NonCloudRev</vt:lpstr>
      <vt:lpstr>dataProd1Seg1NonCloudRevGrowth</vt:lpstr>
      <vt:lpstr>dataProd1Seg1Pct</vt:lpstr>
      <vt:lpstr>dataProd1Seg1Rev</vt:lpstr>
      <vt:lpstr>dataProd1Seg1RevGrowth</vt:lpstr>
      <vt:lpstr>dataProd1Seg1ServicesPct</vt:lpstr>
      <vt:lpstr>dataProd1Seg1ServicesRev</vt:lpstr>
      <vt:lpstr>dataProd1Seg1ServicesRevGrowth</vt:lpstr>
      <vt:lpstr>dataProd1Seg2CloudRev</vt:lpstr>
      <vt:lpstr>dataProd1Seg2CloudRevGrowth</vt:lpstr>
      <vt:lpstr>dataProd1Seg2NonCloudRev</vt:lpstr>
      <vt:lpstr>dataProd1Seg2NonCloudRevGrowth</vt:lpstr>
      <vt:lpstr>dataProd1Seg2Pct</vt:lpstr>
      <vt:lpstr>dataProd1Seg2Rev</vt:lpstr>
      <vt:lpstr>dataProd1Seg2RevGrowth</vt:lpstr>
      <vt:lpstr>dataProd1Seg2ServicesPct</vt:lpstr>
      <vt:lpstr>dataProd1Seg2ServicesRev</vt:lpstr>
      <vt:lpstr>dataProd1Seg2ServicesRevGrowth</vt:lpstr>
      <vt:lpstr>dataProd1Seg3CloudRev</vt:lpstr>
      <vt:lpstr>dataProd1Seg3CloudRevGrowth</vt:lpstr>
      <vt:lpstr>dataProd1Seg3NonCloudRev</vt:lpstr>
      <vt:lpstr>dataProd1Seg3NonCloudRevGrowth</vt:lpstr>
      <vt:lpstr>dataProd1Seg3Pct</vt:lpstr>
      <vt:lpstr>dataProd1Seg3Rev</vt:lpstr>
      <vt:lpstr>dataProd1Seg3RevGrowth</vt:lpstr>
      <vt:lpstr>dataProd1ServicesPct</vt:lpstr>
      <vt:lpstr>dataProd1TotalRev</vt:lpstr>
      <vt:lpstr>dataProd2CloudPct</vt:lpstr>
      <vt:lpstr>dataProd2Price</vt:lpstr>
      <vt:lpstr>dataProd2Revenue</vt:lpstr>
      <vt:lpstr>dataProd2Seg1CloudRev</vt:lpstr>
      <vt:lpstr>dataProd2Seg1CloudRevGrowth</vt:lpstr>
      <vt:lpstr>dataProd2Seg1Pct</vt:lpstr>
      <vt:lpstr>dataProd2Seg1Rev</vt:lpstr>
      <vt:lpstr>dataProd2Seg1RevGrowth</vt:lpstr>
      <vt:lpstr>dataProd2Seg1ServicesPct</vt:lpstr>
      <vt:lpstr>dataProd2Seg2CloudRev</vt:lpstr>
      <vt:lpstr>dataProd2Seg2CloudRevGrowth</vt:lpstr>
      <vt:lpstr>dataProd2Seg2Pct</vt:lpstr>
      <vt:lpstr>dataProd2Seg2Rev</vt:lpstr>
      <vt:lpstr>dataProd2Seg2RevGrowth</vt:lpstr>
      <vt:lpstr>dataProd2Seg2ServicesPct</vt:lpstr>
      <vt:lpstr>dataProd2ServicesPct</vt:lpstr>
      <vt:lpstr>dataProd2TotalRev</vt:lpstr>
      <vt:lpstr>dataProd3Price</vt:lpstr>
      <vt:lpstr>dataProd3Revenue</vt:lpstr>
      <vt:lpstr>dataProd3Seg1MarketUnits</vt:lpstr>
      <vt:lpstr>dataProd3Seg1Revenue</vt:lpstr>
      <vt:lpstr>dataProd3Seg1RevenueGrowth</vt:lpstr>
      <vt:lpstr>dataProd3Seg2MarketUnits</vt:lpstr>
      <vt:lpstr>dataProd3Seg2Revenue</vt:lpstr>
      <vt:lpstr>dataProd3Seg2RevenueGrowth</vt:lpstr>
      <vt:lpstr>dataProd3Seg3MarketUnits</vt:lpstr>
      <vt:lpstr>dataProd3Seg3Revenue</vt:lpstr>
      <vt:lpstr>dataProd3Seg3RevenueGrowth</vt:lpstr>
      <vt:lpstr>dataServicePrice</vt:lpstr>
      <vt:lpstr>dataTableHiringSkill</vt:lpstr>
      <vt:lpstr>dataTableOfferingInvestments</vt:lpstr>
      <vt:lpstr>dataTablePartnerActivity</vt:lpstr>
      <vt:lpstr>dataTablePlatformInvestments</vt:lpstr>
      <vt:lpstr>dataTablePricing</vt:lpstr>
      <vt:lpstr>dataTableSkillsInvestments</vt:lpstr>
      <vt:lpstr>dataTotalProd1Revenue</vt:lpstr>
      <vt:lpstr>dataTotalProd2Revenue</vt:lpstr>
      <vt:lpstr>dataTotalProd3Revenue</vt:lpstr>
      <vt:lpstr>dataTotalSeg1Revenue</vt:lpstr>
      <vt:lpstr>dataTotalSeg2Revenue</vt:lpstr>
      <vt:lpstr>dataTotalSeg3Revenue</vt:lpstr>
      <vt:lpstr>DataValidation_Names</vt:lpstr>
      <vt:lpstr>DataValidation_Pre</vt:lpstr>
      <vt:lpstr>DataValidation_Types</vt:lpstr>
      <vt:lpstr>DB_arrayDash1Names</vt:lpstr>
      <vt:lpstr>DB_arrayDash1Values</vt:lpstr>
      <vt:lpstr>DB_arrayDash2Names</vt:lpstr>
      <vt:lpstr>DB_arrayDash2Values</vt:lpstr>
      <vt:lpstr>DB_arrayDash3Names</vt:lpstr>
      <vt:lpstr>DB_arrayDash3Values</vt:lpstr>
      <vt:lpstr>DB_arrayDash4Names</vt:lpstr>
      <vt:lpstr>DB_arrayDash4Values</vt:lpstr>
      <vt:lpstr>DB_Dashboard1</vt:lpstr>
      <vt:lpstr>DB_Dashboard2</vt:lpstr>
      <vt:lpstr>DB_Dashboard3</vt:lpstr>
      <vt:lpstr>DB_Dashboard4</vt:lpstr>
      <vt:lpstr>DB_LargeWhiteSpace</vt:lpstr>
      <vt:lpstr>DB_LargeWhiteSpaceLength</vt:lpstr>
      <vt:lpstr>DB_SubWhiteSpace</vt:lpstr>
      <vt:lpstr>DB_SubWhiteSpaceLength</vt:lpstr>
      <vt:lpstr>DB_WhiteSpace</vt:lpstr>
      <vt:lpstr>DB_WhiteSpaceLength</vt:lpstr>
      <vt:lpstr>dec_End</vt:lpstr>
      <vt:lpstr>dec_ErrorCheck</vt:lpstr>
      <vt:lpstr>dec_ErrorMessage</vt:lpstr>
      <vt:lpstr>dec_FormulaReset</vt:lpstr>
      <vt:lpstr>dec_LineBreak</vt:lpstr>
      <vt:lpstr>dec_Names</vt:lpstr>
      <vt:lpstr>dec_Paste</vt:lpstr>
      <vt:lpstr>dec_PasteY1</vt:lpstr>
      <vt:lpstr>dec_PasteY2</vt:lpstr>
      <vt:lpstr>dec_PasteY3</vt:lpstr>
      <vt:lpstr>dec_Round</vt:lpstr>
      <vt:lpstr>dec_TeamName</vt:lpstr>
      <vt:lpstr>dec_TeamNumber</vt:lpstr>
      <vt:lpstr>dec_ToolInputPrefix</vt:lpstr>
      <vt:lpstr>dec_ToolReset</vt:lpstr>
      <vt:lpstr>dec_ToolResetR0</vt:lpstr>
      <vt:lpstr>dec_ToolResetValues</vt:lpstr>
      <vt:lpstr>decCommercialCloudMigration</vt:lpstr>
      <vt:lpstr>decCommercialDirectSalesFTEs</vt:lpstr>
      <vt:lpstr>decCommercialInsideSalesFTEs</vt:lpstr>
      <vt:lpstr>decCommercialPartner1Pct</vt:lpstr>
      <vt:lpstr>decCommercialPartner2Pct</vt:lpstr>
      <vt:lpstr>decCommercialPartner3Pct</vt:lpstr>
      <vt:lpstr>decCommercialPartner4Pct</vt:lpstr>
      <vt:lpstr>decCommercialPartnerDevelopment</vt:lpstr>
      <vt:lpstr>decCommercialPartnerEducation</vt:lpstr>
      <vt:lpstr>decCommercialPartnerIncentives</vt:lpstr>
      <vt:lpstr>decCommercialProd1Price</vt:lpstr>
      <vt:lpstr>decCommercialProd1Seg1Share</vt:lpstr>
      <vt:lpstr>decCommercialProd1Seg2Share</vt:lpstr>
      <vt:lpstr>decCommercialProd2Price</vt:lpstr>
      <vt:lpstr>decCommercialProd2Seg1Share</vt:lpstr>
      <vt:lpstr>decCommercialProd2Seg2Share</vt:lpstr>
      <vt:lpstr>decCommercialProd3Price</vt:lpstr>
      <vt:lpstr>decCommercialProd3Seg1Share</vt:lpstr>
      <vt:lpstr>decCommercialProd3Seg2Share</vt:lpstr>
      <vt:lpstr>decCommercialServicesFTEs</vt:lpstr>
      <vt:lpstr>decCommercialSkill1</vt:lpstr>
      <vt:lpstr>decCommercialSkill2</vt:lpstr>
      <vt:lpstr>decCommercialSkill3</vt:lpstr>
      <vt:lpstr>decConsumerDirectSalesFTEs</vt:lpstr>
      <vt:lpstr>decConsumerInsideSalesFTEs</vt:lpstr>
      <vt:lpstr>decConsumerPartner4Pct</vt:lpstr>
      <vt:lpstr>decConsumerPartner5Pct</vt:lpstr>
      <vt:lpstr>decConsumerPartner6Pct</vt:lpstr>
      <vt:lpstr>decConsumerPartnerDevelopment</vt:lpstr>
      <vt:lpstr>decConsumerPartnerEducation</vt:lpstr>
      <vt:lpstr>decConsumerPartnerIncentives</vt:lpstr>
      <vt:lpstr>decConsumerProd1Price</vt:lpstr>
      <vt:lpstr>decConsumerProd1Seg3Share</vt:lpstr>
      <vt:lpstr>decConsumerProd3Price</vt:lpstr>
      <vt:lpstr>decConsumerProd3Seg3Share</vt:lpstr>
      <vt:lpstr>decConsumerServicesFTEs</vt:lpstr>
      <vt:lpstr>decConsumerSkill1</vt:lpstr>
      <vt:lpstr>decConsumerSkill2</vt:lpstr>
      <vt:lpstr>decEGInteroperability</vt:lpstr>
      <vt:lpstr>decEGProd1Offering1</vt:lpstr>
      <vt:lpstr>decEGProd1Offering2</vt:lpstr>
      <vt:lpstr>decEGProd2Offering1</vt:lpstr>
      <vt:lpstr>decEGProd2Offering2</vt:lpstr>
      <vt:lpstr>decEGProd3Offering1</vt:lpstr>
      <vt:lpstr>decEGProd3Offering2</vt:lpstr>
      <vt:lpstr>decEGScalability</vt:lpstr>
      <vt:lpstr>decEGSecurity</vt:lpstr>
      <vt:lpstr>decOpsCollabFTEs</vt:lpstr>
      <vt:lpstr>decOpsCommercialMarketingBudget</vt:lpstr>
      <vt:lpstr>decOpsCommercialProd1Marketing</vt:lpstr>
      <vt:lpstr>decOpsCommercialProd2Marketing</vt:lpstr>
      <vt:lpstr>decOpsCommercialProd3Marketing</vt:lpstr>
      <vt:lpstr>decOpsConsumerMarketingBudget</vt:lpstr>
      <vt:lpstr>decOpsConsumerProd1Marketing</vt:lpstr>
      <vt:lpstr>decOpsConsumerProd3Marketing</vt:lpstr>
      <vt:lpstr>decOpsDataCenter</vt:lpstr>
      <vt:lpstr>decOpsGlobalDemandCenterFTEs</vt:lpstr>
      <vt:lpstr>decOpsITFTEs</vt:lpstr>
      <vt:lpstr>decOpsSalesCollabFTEs</vt:lpstr>
      <vt:lpstr>decOpsSupplyChainFTEs</vt:lpstr>
      <vt:lpstr>decOpsTotalMarketingBudget</vt:lpstr>
      <vt:lpstr>decSI01</vt:lpstr>
      <vt:lpstr>decSI02</vt:lpstr>
      <vt:lpstr>decSI03</vt:lpstr>
      <vt:lpstr>decSI04</vt:lpstr>
      <vt:lpstr>decSI05</vt:lpstr>
      <vt:lpstr>decTeamName</vt:lpstr>
      <vt:lpstr>decTeamNumber</vt:lpstr>
      <vt:lpstr>decTeamRound</vt:lpstr>
      <vt:lpstr>decWobbler1</vt:lpstr>
      <vt:lpstr>decWobbler2</vt:lpstr>
      <vt:lpstr>decWobbler3</vt:lpstr>
      <vt:lpstr>decWobbler4</vt:lpstr>
      <vt:lpstr>decWobbler5</vt:lpstr>
      <vt:lpstr>decWobbler6</vt:lpstr>
      <vt:lpstr>decWobbler7</vt:lpstr>
      <vt:lpstr>decWobbler8</vt:lpstr>
      <vt:lpstr>Devices</vt:lpstr>
      <vt:lpstr>Doors_OS</vt:lpstr>
      <vt:lpstr>feedback_FeedbackFileName</vt:lpstr>
      <vt:lpstr>feedback_FeedbackSheetName</vt:lpstr>
      <vt:lpstr>feedback_TimeSeriesFeedbackSheetName</vt:lpstr>
      <vt:lpstr>FilePath</vt:lpstr>
      <vt:lpstr>FinDefBookingsName</vt:lpstr>
      <vt:lpstr>FinDefContractLength</vt:lpstr>
      <vt:lpstr>FinDefDCDepRate</vt:lpstr>
      <vt:lpstr>FinDefDeferralRate</vt:lpstr>
      <vt:lpstr>FinDefRecogRate</vt:lpstr>
      <vt:lpstr>finPNLDirectSalesSalaryExp</vt:lpstr>
      <vt:lpstr>finPNLGAExp</vt:lpstr>
      <vt:lpstr>finPNLInsideSalesSalaryExp</vt:lpstr>
      <vt:lpstr>finPNLMarketingExp</vt:lpstr>
      <vt:lpstr>finPNLOpsSalaryExp</vt:lpstr>
      <vt:lpstr>finPNLPartnerActivityExp</vt:lpstr>
      <vt:lpstr>finPNLPartnerSalaryExp</vt:lpstr>
      <vt:lpstr>finPNLProd1Seg1GrossMargin</vt:lpstr>
      <vt:lpstr>finPNLProd1Seg1GrossProfit</vt:lpstr>
      <vt:lpstr>finPNLProd1Seg1NewBookings</vt:lpstr>
      <vt:lpstr>finPNLProd1Seg1NewCOGS</vt:lpstr>
      <vt:lpstr>finPNLProd1Seg1NewRev</vt:lpstr>
      <vt:lpstr>finPNLProd1Seg1NonCloudCOGS</vt:lpstr>
      <vt:lpstr>finPNLProd1Seg1NonCloudRev</vt:lpstr>
      <vt:lpstr>finPNLProd1Seg1RenewalBookings</vt:lpstr>
      <vt:lpstr>finPNLProd1Seg1RenewalCOGS</vt:lpstr>
      <vt:lpstr>finPNLProd1Seg1RenewalRev</vt:lpstr>
      <vt:lpstr>finPNLProd1Seg1RevFromDef</vt:lpstr>
      <vt:lpstr>finPNLProd1Seg1ServicesCOGS</vt:lpstr>
      <vt:lpstr>finPNLProd1Seg1ServicesRev</vt:lpstr>
      <vt:lpstr>finPNLProd1Seg1TotalBookings</vt:lpstr>
      <vt:lpstr>finPNLProd1Seg1TotalCOGs</vt:lpstr>
      <vt:lpstr>finPNLProd1Seg1TotalRev</vt:lpstr>
      <vt:lpstr>finPNLProd1Seg2GrossMargin</vt:lpstr>
      <vt:lpstr>finPNLProd1Seg2GrossProfit</vt:lpstr>
      <vt:lpstr>finPNLProd1Seg2NewBookings</vt:lpstr>
      <vt:lpstr>finPNLProd1Seg2NewCOGS</vt:lpstr>
      <vt:lpstr>finPNLProd1Seg2NewRev</vt:lpstr>
      <vt:lpstr>finPNLProd1Seg2NonCloudCOGS</vt:lpstr>
      <vt:lpstr>finPNLProd1Seg2NonCloudRev</vt:lpstr>
      <vt:lpstr>finPNLProd1Seg2RenewalBookings</vt:lpstr>
      <vt:lpstr>finPNLProd1Seg2RenewalCOGS</vt:lpstr>
      <vt:lpstr>finPNLProd1Seg2RenewalRev</vt:lpstr>
      <vt:lpstr>finPNLProd1Seg2RevFromDef</vt:lpstr>
      <vt:lpstr>finPNLProd1Seg2ServicesCOGS</vt:lpstr>
      <vt:lpstr>finPNLProd1Seg2ServicesRev</vt:lpstr>
      <vt:lpstr>finPNLProd1Seg2TotalBookings</vt:lpstr>
      <vt:lpstr>finPNLProd1Seg2TotalCOGs</vt:lpstr>
      <vt:lpstr>finPNLProd1Seg2TotalRev</vt:lpstr>
      <vt:lpstr>finPNLProd1Seg3GrossMargin</vt:lpstr>
      <vt:lpstr>finPNLProd1Seg3GrossProfit</vt:lpstr>
      <vt:lpstr>finPNLProd1Seg3NewBookings</vt:lpstr>
      <vt:lpstr>finPNLProd1Seg3NewCOGS</vt:lpstr>
      <vt:lpstr>finPNLProd1Seg3NewRev</vt:lpstr>
      <vt:lpstr>finPNLProd1Seg3NonCloudCOGS</vt:lpstr>
      <vt:lpstr>finPNLProd1Seg3NonCloudRev</vt:lpstr>
      <vt:lpstr>finPNLProd1Seg3RenewalBookings</vt:lpstr>
      <vt:lpstr>finPNLProd1Seg3RenewalCOGS</vt:lpstr>
      <vt:lpstr>finPNLProd1Seg3RenewalRev</vt:lpstr>
      <vt:lpstr>finPNLProd1Seg3RevFromDef</vt:lpstr>
      <vt:lpstr>finPNLProd1Seg3TotalBookings</vt:lpstr>
      <vt:lpstr>finPNLProd1Seg3TotalCOGs</vt:lpstr>
      <vt:lpstr>finPNLProd1Seg3TotalRev</vt:lpstr>
      <vt:lpstr>finPNLProd2Seg1GrossMargin</vt:lpstr>
      <vt:lpstr>finPNLProd2Seg1GrossProfit</vt:lpstr>
      <vt:lpstr>finPNLProd2Seg1NewBookings</vt:lpstr>
      <vt:lpstr>finPNLProd2Seg1NewCOGS</vt:lpstr>
      <vt:lpstr>finPNLProd2Seg1NewRev</vt:lpstr>
      <vt:lpstr>finPNLProd2Seg1RenewalBookings</vt:lpstr>
      <vt:lpstr>finPNLProd2Seg1RenewalCOGS</vt:lpstr>
      <vt:lpstr>finPNLProd2Seg1RenewalRev</vt:lpstr>
      <vt:lpstr>finPNLProd2Seg1RevFromDef</vt:lpstr>
      <vt:lpstr>finPNLProd2Seg1ServicesCOGS</vt:lpstr>
      <vt:lpstr>finPNLProd2Seg1ServicesRev</vt:lpstr>
      <vt:lpstr>finPNLProd2Seg1TotalBookings</vt:lpstr>
      <vt:lpstr>finPNLProd2Seg1TotalCOGs</vt:lpstr>
      <vt:lpstr>finPNLProd2Seg1TotalRev</vt:lpstr>
      <vt:lpstr>finPNLProd2Seg2GrossMargin</vt:lpstr>
      <vt:lpstr>finPNLProd2Seg2GrossProfit</vt:lpstr>
      <vt:lpstr>finPNLProd2Seg2NewBookings</vt:lpstr>
      <vt:lpstr>finPNLProd2Seg2NewCOGS</vt:lpstr>
      <vt:lpstr>finPNLProd2Seg2NewRev</vt:lpstr>
      <vt:lpstr>finPNLProd2Seg2RenewalBookings</vt:lpstr>
      <vt:lpstr>finPNLProd2Seg2RenewalCOGS</vt:lpstr>
      <vt:lpstr>finPNLProd2Seg2RenewalRev</vt:lpstr>
      <vt:lpstr>finPNLProd2Seg2RevFromDef</vt:lpstr>
      <vt:lpstr>finPNLProd2Seg2ServicesCOGS</vt:lpstr>
      <vt:lpstr>finPNLProd2Seg2ServicesRev</vt:lpstr>
      <vt:lpstr>finPNLProd2Seg2TotalBookings</vt:lpstr>
      <vt:lpstr>finPNLProd2Seg2TotalCOGs</vt:lpstr>
      <vt:lpstr>finPNLProd2Seg2TotalRev</vt:lpstr>
      <vt:lpstr>finPNLProd3Seg1GrossMargin</vt:lpstr>
      <vt:lpstr>finPNLProd3Seg1GrossProfit</vt:lpstr>
      <vt:lpstr>finPNLProd3Seg1LaborCOGS</vt:lpstr>
      <vt:lpstr>finPNLProd3Seg1MatCOGS</vt:lpstr>
      <vt:lpstr>finPNLProd3Seg1TotalCOGs</vt:lpstr>
      <vt:lpstr>finPNLProd3Seg1TotalRev</vt:lpstr>
      <vt:lpstr>finPNLProd3Seg2GrossMargin</vt:lpstr>
      <vt:lpstr>finPNLProd3Seg2GrossProfit</vt:lpstr>
      <vt:lpstr>finPNLProd3Seg2LaborCOGS</vt:lpstr>
      <vt:lpstr>finPNLProd3Seg2MatCOGS</vt:lpstr>
      <vt:lpstr>finPNLProd3Seg2TotalCOGs</vt:lpstr>
      <vt:lpstr>finPNLProd3Seg2TotalRev</vt:lpstr>
      <vt:lpstr>finPNLProd3Seg3GrossMargin</vt:lpstr>
      <vt:lpstr>finPNLProd3Seg3GrossProfit</vt:lpstr>
      <vt:lpstr>finPNLProd3Seg3LaborCOGS</vt:lpstr>
      <vt:lpstr>finPNLProd3Seg3MatCOGS</vt:lpstr>
      <vt:lpstr>finPNLProd3Seg3TotalCOGs</vt:lpstr>
      <vt:lpstr>finPNLProd3Seg3TotalRev</vt:lpstr>
      <vt:lpstr>finPNLServicesSalaryExp</vt:lpstr>
      <vt:lpstr>finPNLTalentDevExp</vt:lpstr>
      <vt:lpstr>finPNLTotalBookings</vt:lpstr>
      <vt:lpstr>finPNLTotalCOGS</vt:lpstr>
      <vt:lpstr>finPNLTotalGAExp</vt:lpstr>
      <vt:lpstr>finPNLTotalGAExpPerc</vt:lpstr>
      <vt:lpstr>finPNLTotalGrossMargin</vt:lpstr>
      <vt:lpstr>finPNLTotalGrossProfit</vt:lpstr>
      <vt:lpstr>finPNLTotalMSExp</vt:lpstr>
      <vt:lpstr>finPNLTotalMSExpPerc</vt:lpstr>
      <vt:lpstr>finPNLTotalOpex</vt:lpstr>
      <vt:lpstr>finPNLTotalOpsMargin</vt:lpstr>
      <vt:lpstr>finPNLTotalOpsProfit</vt:lpstr>
      <vt:lpstr>finPNLTotalProd1GrossMargin</vt:lpstr>
      <vt:lpstr>finPNLTotalProd1GrossProfit</vt:lpstr>
      <vt:lpstr>finPNLTotalProd1Rev</vt:lpstr>
      <vt:lpstr>finPNLTotalProd2GrossMargin</vt:lpstr>
      <vt:lpstr>finPNLTotalProd2GrossProfit</vt:lpstr>
      <vt:lpstr>finPNLTotalProd2Rev</vt:lpstr>
      <vt:lpstr>finPNLTotalProd3GrossMargin</vt:lpstr>
      <vt:lpstr>finPNLTotalProd3GrossProfit</vt:lpstr>
      <vt:lpstr>finPNLTotalProd3Rev</vt:lpstr>
      <vt:lpstr>finPNLTotalRev</vt:lpstr>
      <vt:lpstr>finPNLTotalRevGrowth</vt:lpstr>
      <vt:lpstr>finPNLTotalSeg1GrossMargin</vt:lpstr>
      <vt:lpstr>finPNLTotalSeg1GrossProfit</vt:lpstr>
      <vt:lpstr>finPNLTotalSeg1Rev</vt:lpstr>
      <vt:lpstr>finPNLTotalSeg2GrossMargin</vt:lpstr>
      <vt:lpstr>finPNLTotalSeg2GrossProfit</vt:lpstr>
      <vt:lpstr>finPNLTotalSeg2Rev</vt:lpstr>
      <vt:lpstr>finPNLTotalSeg3GrossMargin</vt:lpstr>
      <vt:lpstr>finPNLTotalSeg3GrossProfit</vt:lpstr>
      <vt:lpstr>finPNLTotalSeg3Rev</vt:lpstr>
      <vt:lpstr>finPNLUnallocatedSalaryExp</vt:lpstr>
      <vt:lpstr>FinTradCalcProd1COGSPUnit</vt:lpstr>
      <vt:lpstr>FinTradCalcProd1EndingShare</vt:lpstr>
      <vt:lpstr>FinTradCalcProd1MatExp</vt:lpstr>
      <vt:lpstr>FinTradCalcProd1NewUnits</vt:lpstr>
      <vt:lpstr>finTradCalcProd1Price</vt:lpstr>
      <vt:lpstr>FTETotalOutput</vt:lpstr>
      <vt:lpstr>FTETypeAFTE</vt:lpstr>
      <vt:lpstr>glossary_Language</vt:lpstr>
      <vt:lpstr>H59tlOutputOpsCommercialProd1MktgBudgetOpening</vt:lpstr>
      <vt:lpstr>hood_OnHoodCloseGoTo</vt:lpstr>
      <vt:lpstr>hood_ToolPrefix</vt:lpstr>
      <vt:lpstr>ImportExportCSV_BalSheetClosing</vt:lpstr>
      <vt:lpstr>ImportExportCSV_BalSheetOnObal</vt:lpstr>
      <vt:lpstr>ImportExportCSV_BalSheetOpening</vt:lpstr>
      <vt:lpstr>IndustryAvgCommercialInsideSalesFTEs</vt:lpstr>
      <vt:lpstr>IndustryAvgCommercialSalesFTEs</vt:lpstr>
      <vt:lpstr>IndustryAvgCommercialServicesFTEs</vt:lpstr>
      <vt:lpstr>IndustryAvgCommercialSkill1</vt:lpstr>
      <vt:lpstr>IndustryAvgCommercialSkill2</vt:lpstr>
      <vt:lpstr>IndustryAvgCommercialSkill3</vt:lpstr>
      <vt:lpstr>IndustryAvgConsumerInsideSalesFTEs</vt:lpstr>
      <vt:lpstr>IndustryAvgConsumerSalesFTEs</vt:lpstr>
      <vt:lpstr>IndustryAvgConsumerServicesFTEs</vt:lpstr>
      <vt:lpstr>IndustryAvgConsumerSkill1</vt:lpstr>
      <vt:lpstr>IndustryAvgConsumerSkill2</vt:lpstr>
      <vt:lpstr>IndustryAvgEGInteroperability</vt:lpstr>
      <vt:lpstr>IndustryAvgEGProd1Offering1</vt:lpstr>
      <vt:lpstr>IndustryAvgEGProd1Offering2</vt:lpstr>
      <vt:lpstr>IndustryAvgEGProd2Offering1</vt:lpstr>
      <vt:lpstr>IndustryAvgEGProd2Offering2</vt:lpstr>
      <vt:lpstr>IndustryAvgEGProd3Offering1</vt:lpstr>
      <vt:lpstr>IndustryAvgEGProd3Offering2</vt:lpstr>
      <vt:lpstr>IndustryAvgEGScalability</vt:lpstr>
      <vt:lpstr>IndustryAvgEGSecurity</vt:lpstr>
      <vt:lpstr>InfoButtonColor</vt:lpstr>
      <vt:lpstr>InfoButtonNum</vt:lpstr>
      <vt:lpstr>InfoButtonSht</vt:lpstr>
      <vt:lpstr>InfoButtonStatus</vt:lpstr>
      <vt:lpstr>InfoButtonText</vt:lpstr>
      <vt:lpstr>InfoButtonTitle</vt:lpstr>
      <vt:lpstr>InfoButtonToggleHide</vt:lpstr>
      <vt:lpstr>InfoButtonToggleLabel</vt:lpstr>
      <vt:lpstr>InfoButtonToggleShow</vt:lpstr>
      <vt:lpstr>Kinetics</vt:lpstr>
      <vt:lpstr>LevelSelectedtlCommercial</vt:lpstr>
      <vt:lpstr>LevelSelectedtlConsumer</vt:lpstr>
      <vt:lpstr>LevelSelectedtlEG</vt:lpstr>
      <vt:lpstr>LevelSelectedtlOps</vt:lpstr>
      <vt:lpstr>LookupRound</vt:lpstr>
      <vt:lpstr>ManualAdjCPAdvocacy</vt:lpstr>
      <vt:lpstr>ManualAdjExecution</vt:lpstr>
      <vt:lpstr>ManualAdjProd1Seg1Consumption</vt:lpstr>
      <vt:lpstr>ManualAdjProd1Seg1RenRate</vt:lpstr>
      <vt:lpstr>ManualAdjProd1Seg1Share</vt:lpstr>
      <vt:lpstr>ManualAdjProd1Seg2Consumption</vt:lpstr>
      <vt:lpstr>ManualAdjProd1Seg2RenRate</vt:lpstr>
      <vt:lpstr>ManualAdjProd1Seg2Share</vt:lpstr>
      <vt:lpstr>ManualAdjProd1Seg3Consumption</vt:lpstr>
      <vt:lpstr>ManualAdjProd1Seg3RenRate</vt:lpstr>
      <vt:lpstr>ManualAdjProd1Seg3Share</vt:lpstr>
      <vt:lpstr>ManualAdjProd2Seg1Consumption</vt:lpstr>
      <vt:lpstr>ManualAdjProd2Seg1RenRate</vt:lpstr>
      <vt:lpstr>ManualAdjProd2Seg1Share</vt:lpstr>
      <vt:lpstr>ManualAdjProd2Seg2Consumption</vt:lpstr>
      <vt:lpstr>ManualAdjProd2Seg2RenRate</vt:lpstr>
      <vt:lpstr>ManualAdjProd2Seg2Share</vt:lpstr>
      <vt:lpstr>ManualAdjProd3Seg1Share</vt:lpstr>
      <vt:lpstr>ManualAdjProd3Seg2Share</vt:lpstr>
      <vt:lpstr>ManualAdjProd3Seg3Share</vt:lpstr>
      <vt:lpstr>ManualAdjWHI</vt:lpstr>
      <vt:lpstr>mmCompetitorProd1Seg1Driver1</vt:lpstr>
      <vt:lpstr>mmCompetitorProd1Seg1Driver2</vt:lpstr>
      <vt:lpstr>mmCompetitorProd1Seg1Driver3</vt:lpstr>
      <vt:lpstr>mmCompetitorProd1Seg1Driver4</vt:lpstr>
      <vt:lpstr>mmCompetitorProd1Seg1Driver5</vt:lpstr>
      <vt:lpstr>mmCompetitorProd1Seg1Driver6</vt:lpstr>
      <vt:lpstr>mmCompetitorProd1Seg1Driver7</vt:lpstr>
      <vt:lpstr>mmCompetitorProd1Seg1Driver8</vt:lpstr>
      <vt:lpstr>mmCompetitorProd1Seg1RenRate</vt:lpstr>
      <vt:lpstr>mmCompetitorProd1Seg1Share</vt:lpstr>
      <vt:lpstr>mmCompetitorProd1Seg1TotalSubs</vt:lpstr>
      <vt:lpstr>mmCompetitorProd1Seg2Driver1</vt:lpstr>
      <vt:lpstr>mmCompetitorProd1Seg2Driver2</vt:lpstr>
      <vt:lpstr>mmCompetitorProd1Seg2Driver3</vt:lpstr>
      <vt:lpstr>mmCompetitorProd1Seg2Driver4</vt:lpstr>
      <vt:lpstr>mmCompetitorProd1Seg2Driver5</vt:lpstr>
      <vt:lpstr>mmCompetitorProd1Seg2Driver6</vt:lpstr>
      <vt:lpstr>mmCompetitorProd1Seg2Driver7</vt:lpstr>
      <vt:lpstr>mmCompetitorProd1Seg2Driver8</vt:lpstr>
      <vt:lpstr>mmCompetitorProd1Seg2RenRate</vt:lpstr>
      <vt:lpstr>mmCompetitorProd1Seg2Share</vt:lpstr>
      <vt:lpstr>mmCompetitorProd1Seg2TotalSubs</vt:lpstr>
      <vt:lpstr>mmCompetitorProd1Seg3Driver1</vt:lpstr>
      <vt:lpstr>mmCompetitorProd1Seg3Driver2</vt:lpstr>
      <vt:lpstr>mmCompetitorProd1Seg3Driver3</vt:lpstr>
      <vt:lpstr>mmCompetitorProd1Seg3Driver4</vt:lpstr>
      <vt:lpstr>mmCompetitorProd1Seg3Driver5</vt:lpstr>
      <vt:lpstr>mmCompetitorProd1Seg3Driver6</vt:lpstr>
      <vt:lpstr>mmCompetitorProd1Seg3Driver7</vt:lpstr>
      <vt:lpstr>mmCompetitorProd1Seg3Driver8</vt:lpstr>
      <vt:lpstr>mmCompetitorProd1Seg3RenRate</vt:lpstr>
      <vt:lpstr>mmCompetitorProd1Seg3Share</vt:lpstr>
      <vt:lpstr>mmCompetitorProd1Seg3TotalSubs</vt:lpstr>
      <vt:lpstr>mmCompetitorProd2Seg1Driver1</vt:lpstr>
      <vt:lpstr>mmCompetitorProd2Seg1Driver2</vt:lpstr>
      <vt:lpstr>mmCompetitorProd2Seg1Driver3</vt:lpstr>
      <vt:lpstr>mmCompetitorProd2Seg1Driver4</vt:lpstr>
      <vt:lpstr>mmCompetitorProd2Seg1Driver5</vt:lpstr>
      <vt:lpstr>mmCompetitorProd2Seg1Driver6</vt:lpstr>
      <vt:lpstr>mmCompetitorProd2Seg1RenRate</vt:lpstr>
      <vt:lpstr>mmCompetitorProd2Seg1Share</vt:lpstr>
      <vt:lpstr>mmCompetitorProd2Seg1TotalSubs</vt:lpstr>
      <vt:lpstr>mmCompetitorProd2Seg2Driver1</vt:lpstr>
      <vt:lpstr>mmCompetitorProd2Seg2Driver2</vt:lpstr>
      <vt:lpstr>mmCompetitorProd2Seg2Driver3</vt:lpstr>
      <vt:lpstr>mmCompetitorProd2Seg2Driver4</vt:lpstr>
      <vt:lpstr>mmCompetitorProd2Seg2Driver5</vt:lpstr>
      <vt:lpstr>mmCompetitorProd2Seg2Driver6</vt:lpstr>
      <vt:lpstr>mmCompetitorProd2Seg2RenRate</vt:lpstr>
      <vt:lpstr>mmCompetitorProd2Seg2Share</vt:lpstr>
      <vt:lpstr>mmCompetitorProd2Seg2TotalSubs</vt:lpstr>
      <vt:lpstr>mmCompetitorProd3Seg1Driver1</vt:lpstr>
      <vt:lpstr>mmCompetitorProd3Seg1Driver2</vt:lpstr>
      <vt:lpstr>mmCompetitorProd3Seg1Driver3</vt:lpstr>
      <vt:lpstr>mmCompetitorProd3Seg1Driver4</vt:lpstr>
      <vt:lpstr>mmCompetitorProd3Seg1Driver5</vt:lpstr>
      <vt:lpstr>mmCompetitorProd3Seg1Driver6</vt:lpstr>
      <vt:lpstr>mmCompetitorProd3Seg1Share</vt:lpstr>
      <vt:lpstr>mmCompetitorProd3Seg2Driver1</vt:lpstr>
      <vt:lpstr>mmCompetitorProd3Seg2Driver2</vt:lpstr>
      <vt:lpstr>mmCompetitorProd3Seg2Driver3</vt:lpstr>
      <vt:lpstr>mmCompetitorProd3Seg2Driver4</vt:lpstr>
      <vt:lpstr>mmCompetitorProd3Seg2Driver5</vt:lpstr>
      <vt:lpstr>mmCompetitorProd3Seg2Driver6</vt:lpstr>
      <vt:lpstr>mmCompetitorProd3Seg2Share</vt:lpstr>
      <vt:lpstr>mmCompetitorProd3Seg3Driver1</vt:lpstr>
      <vt:lpstr>mmCompetitorProd3Seg3Driver2</vt:lpstr>
      <vt:lpstr>mmCompetitorProd3Seg3Driver3</vt:lpstr>
      <vt:lpstr>mmCompetitorProd3Seg3Driver4</vt:lpstr>
      <vt:lpstr>mmCompetitorProd3Seg3Driver5</vt:lpstr>
      <vt:lpstr>mmCompetitorProd3Seg3Driver6</vt:lpstr>
      <vt:lpstr>mmCompetitorProd3Seg3Share</vt:lpstr>
      <vt:lpstr>mmCompetitorReg1Prod1Seg1Consumption</vt:lpstr>
      <vt:lpstr>mmCompetitorReg1Prod1Seg1Driver1</vt:lpstr>
      <vt:lpstr>mmCompetitorReg1Prod1Seg1Driver2</vt:lpstr>
      <vt:lpstr>mmCompetitorReg1Prod1Seg1Driver3</vt:lpstr>
      <vt:lpstr>mmCompetitorReg1Prod1Seg1Driver4</vt:lpstr>
      <vt:lpstr>mmCompetitorReg1Prod1Seg1Driver5</vt:lpstr>
      <vt:lpstr>mmCompetitorReg1Prod1Seg1Driver6</vt:lpstr>
      <vt:lpstr>mmCompetitorReg1Prod1Seg1Driver7</vt:lpstr>
      <vt:lpstr>mmCompetitorReg1Prod1Seg1Driver8</vt:lpstr>
      <vt:lpstr>mmCompetitorReg1Prod1Seg1Prod1Capability</vt:lpstr>
      <vt:lpstr>mmCompetitorReg1Prod1Seg1Prod2Capability</vt:lpstr>
      <vt:lpstr>mmCompetitorReg1Prod1Seg1Prod3Capability</vt:lpstr>
      <vt:lpstr>mmCompetitorReg1Prod1Seg1RenRate</vt:lpstr>
      <vt:lpstr>mmCompetitorReg1Prod1Seg1Seats</vt:lpstr>
      <vt:lpstr>mmCompetitorReg1Prod1Seg2Seats</vt:lpstr>
      <vt:lpstr>mmCompetitorReg1Prod1Seg3Seats</vt:lpstr>
      <vt:lpstr>mmCompetitorReg1Prod2Seg1Seats</vt:lpstr>
      <vt:lpstr>mmCompetitorReg1Prod2Seg2Seats</vt:lpstr>
      <vt:lpstr>mmSubProd1Seg1AttachSwitch</vt:lpstr>
      <vt:lpstr>mmSubProd1Seg1BookingsBalancing</vt:lpstr>
      <vt:lpstr>mmSubProd1Seg1ContractLen</vt:lpstr>
      <vt:lpstr>mmSubProd1Seg1EoPARRBalancing</vt:lpstr>
      <vt:lpstr>mmSubProd1Seg1FinModel</vt:lpstr>
      <vt:lpstr>mmSubProd1Seg1NetARRBalancing</vt:lpstr>
      <vt:lpstr>mmSubProd1Seg1NewTAM</vt:lpstr>
      <vt:lpstr>mmSubProd1Seg1RevBalancing</vt:lpstr>
      <vt:lpstr>mmSubProd1Seg2AttachSwitch</vt:lpstr>
      <vt:lpstr>mmSubProd1Seg2BookingsBalancing</vt:lpstr>
      <vt:lpstr>mmSubProd1Seg2ContractLen</vt:lpstr>
      <vt:lpstr>mmSubProd1Seg2EoPARRBalancing</vt:lpstr>
      <vt:lpstr>mmSubProd1Seg2FinModel</vt:lpstr>
      <vt:lpstr>mmSubProd1Seg2NetARRBalancing</vt:lpstr>
      <vt:lpstr>mmSubProd1Seg2NewTAM</vt:lpstr>
      <vt:lpstr>mmSubProd1Seg2RevBalancing</vt:lpstr>
      <vt:lpstr>mmSubProd1Seg3AttachSwitch</vt:lpstr>
      <vt:lpstr>mmSubProd1Seg3BookingsBalancing</vt:lpstr>
      <vt:lpstr>mmSubProd1Seg3FinModel</vt:lpstr>
      <vt:lpstr>mmSubProd1Seg3NewTAM</vt:lpstr>
      <vt:lpstr>mmSubProd1Seg3RevBalancing</vt:lpstr>
      <vt:lpstr>mmSubProd2Seg1AttachSwitch</vt:lpstr>
      <vt:lpstr>mmSubProd2Seg1BookingsBalancing</vt:lpstr>
      <vt:lpstr>mmSubProd2Seg1ContractLen</vt:lpstr>
      <vt:lpstr>mmSubProd2Seg1EoPARRBalancing</vt:lpstr>
      <vt:lpstr>mmSubProd2Seg1FinModel</vt:lpstr>
      <vt:lpstr>mmSubProd2Seg1NetARRBalancing</vt:lpstr>
      <vt:lpstr>mmSubProd2Seg1NewTAM</vt:lpstr>
      <vt:lpstr>mmSubProd2Seg1RevBalancing</vt:lpstr>
      <vt:lpstr>mmSubProd2Seg2AttachSwitch</vt:lpstr>
      <vt:lpstr>mmSubProd2Seg2BookingsBalancing</vt:lpstr>
      <vt:lpstr>mmSubProd2Seg2ContractLen</vt:lpstr>
      <vt:lpstr>mmSubProd2Seg2EoPARRBalancing</vt:lpstr>
      <vt:lpstr>mmSubProd2Seg2FinModel</vt:lpstr>
      <vt:lpstr>mmSubProd2Seg2NetARRBalancing</vt:lpstr>
      <vt:lpstr>mmSubProd2Seg2NewTAM</vt:lpstr>
      <vt:lpstr>mmSubProd2Seg2RevBalancing</vt:lpstr>
      <vt:lpstr>mmSubTeamsinMarket</vt:lpstr>
      <vt:lpstr>NavCommercialDeselectedButton</vt:lpstr>
      <vt:lpstr>NavCommercialRange1</vt:lpstr>
      <vt:lpstr>NavCommercialRange2</vt:lpstr>
      <vt:lpstr>NavCommercialRange3</vt:lpstr>
      <vt:lpstr>NavCommercialRange4</vt:lpstr>
      <vt:lpstr>NavCommercialRange5</vt:lpstr>
      <vt:lpstr>NavCommercialSelectedButton</vt:lpstr>
      <vt:lpstr>NavCommercialTotalButtons</vt:lpstr>
      <vt:lpstr>NavConsumerDeselectedButton</vt:lpstr>
      <vt:lpstr>NavConsumerRange1</vt:lpstr>
      <vt:lpstr>NavConsumerRange2</vt:lpstr>
      <vt:lpstr>NavConsumerRange3</vt:lpstr>
      <vt:lpstr>NavConsumerRange4</vt:lpstr>
      <vt:lpstr>NavConsumerSelectedButton</vt:lpstr>
      <vt:lpstr>NavConsumerTotalButtons</vt:lpstr>
      <vt:lpstr>NavEGDeselectedButton</vt:lpstr>
      <vt:lpstr>NavEGRange1</vt:lpstr>
      <vt:lpstr>NavEGRange2</vt:lpstr>
      <vt:lpstr>NavEGRange3</vt:lpstr>
      <vt:lpstr>NavEGRange4</vt:lpstr>
      <vt:lpstr>NavEGSelectedButton</vt:lpstr>
      <vt:lpstr>NavEGTotalButtons</vt:lpstr>
      <vt:lpstr>NavGSMODeselectedButton</vt:lpstr>
      <vt:lpstr>NavGSMOSelectedButton</vt:lpstr>
      <vt:lpstr>NavGSMOTotalButtons</vt:lpstr>
      <vt:lpstr>NavOpsDeselectedButton</vt:lpstr>
      <vt:lpstr>NavOpsRange1</vt:lpstr>
      <vt:lpstr>NavOpsRange2</vt:lpstr>
      <vt:lpstr>NavOpsRange3</vt:lpstr>
      <vt:lpstr>NavOpsRange4</vt:lpstr>
      <vt:lpstr>NavOpsRange5</vt:lpstr>
      <vt:lpstr>NavOpsRange6</vt:lpstr>
      <vt:lpstr>NavOpsSelectedButton</vt:lpstr>
      <vt:lpstr>NavOpsTotalButtons</vt:lpstr>
      <vt:lpstr>Nimbus</vt:lpstr>
      <vt:lpstr>nmCOGS</vt:lpstr>
      <vt:lpstr>nmForecast</vt:lpstr>
      <vt:lpstr>nmGrossMargin</vt:lpstr>
      <vt:lpstr>nmGrossProfit</vt:lpstr>
      <vt:lpstr>nmInitiatives</vt:lpstr>
      <vt:lpstr>nmMarketing</vt:lpstr>
      <vt:lpstr>nmMillion</vt:lpstr>
      <vt:lpstr>nmPartner1</vt:lpstr>
      <vt:lpstr>nmPartner2</vt:lpstr>
      <vt:lpstr>nmPartner3</vt:lpstr>
      <vt:lpstr>nmPartner4</vt:lpstr>
      <vt:lpstr>nmPartner5</vt:lpstr>
      <vt:lpstr>nmPartner6</vt:lpstr>
      <vt:lpstr>nmPrice</vt:lpstr>
      <vt:lpstr>nmProd1</vt:lpstr>
      <vt:lpstr>nmProd1Offering1</vt:lpstr>
      <vt:lpstr>nmProd1Offering2</vt:lpstr>
      <vt:lpstr>nmProd1Seg1</vt:lpstr>
      <vt:lpstr>nmProd1Seg2</vt:lpstr>
      <vt:lpstr>nmProd1Seg3</vt:lpstr>
      <vt:lpstr>nmProd2</vt:lpstr>
      <vt:lpstr>nmProd2Offering1</vt:lpstr>
      <vt:lpstr>nmProd2Offering2</vt:lpstr>
      <vt:lpstr>nmProd2Offering3</vt:lpstr>
      <vt:lpstr>nmProd2Seg1</vt:lpstr>
      <vt:lpstr>nmProd2Seg2</vt:lpstr>
      <vt:lpstr>nmProd2Seg3</vt:lpstr>
      <vt:lpstr>nmProd3</vt:lpstr>
      <vt:lpstr>nmProd3Offering1</vt:lpstr>
      <vt:lpstr>nmProd3Offering2</vt:lpstr>
      <vt:lpstr>nmProd3Offering3</vt:lpstr>
      <vt:lpstr>nmProd3Seg1</vt:lpstr>
      <vt:lpstr>nmProd3Seg2</vt:lpstr>
      <vt:lpstr>nmProd3Seg3</vt:lpstr>
      <vt:lpstr>nmProgramSubtitle</vt:lpstr>
      <vt:lpstr>nmProgramTitle</vt:lpstr>
      <vt:lpstr>nmRevenue</vt:lpstr>
      <vt:lpstr>nmRound</vt:lpstr>
      <vt:lpstr>nmSeg1</vt:lpstr>
      <vt:lpstr>nmSeg2</vt:lpstr>
      <vt:lpstr>nmSeg3</vt:lpstr>
      <vt:lpstr>nmSkill1</vt:lpstr>
      <vt:lpstr>nmSkill2</vt:lpstr>
      <vt:lpstr>nmSkill3</vt:lpstr>
      <vt:lpstr>nmSkill4</vt:lpstr>
      <vt:lpstr>nmSolutionArea1</vt:lpstr>
      <vt:lpstr>nmSolutionArea2</vt:lpstr>
      <vt:lpstr>nmSolutionArea3</vt:lpstr>
      <vt:lpstr>nmTeamName</vt:lpstr>
      <vt:lpstr>nmTeamNumber</vt:lpstr>
      <vt:lpstr>obal_End</vt:lpstr>
      <vt:lpstr>obal_Paste</vt:lpstr>
      <vt:lpstr>obal_ResetR0</vt:lpstr>
      <vt:lpstr>obalAvgConsumption</vt:lpstr>
      <vt:lpstr>obalAvgRenRate</vt:lpstr>
      <vt:lpstr>obalCloudAdoption</vt:lpstr>
      <vt:lpstr>obalCollab</vt:lpstr>
      <vt:lpstr>obalCommercialDirectSalesFTEs</vt:lpstr>
      <vt:lpstr>obalCommercialInsideSalesFTEs</vt:lpstr>
      <vt:lpstr>obalCommercialPartner1Budget</vt:lpstr>
      <vt:lpstr>obalCommercialPartner1FTEs</vt:lpstr>
      <vt:lpstr>obalCommercialPartner1Pct</vt:lpstr>
      <vt:lpstr>obalCommercialPartner2Budget</vt:lpstr>
      <vt:lpstr>obalCommercialPartner2FTEs</vt:lpstr>
      <vt:lpstr>obalCommercialPartner2Pct</vt:lpstr>
      <vt:lpstr>obalCommercialPartner3Budget</vt:lpstr>
      <vt:lpstr>obalCommercialPartner3FTEs</vt:lpstr>
      <vt:lpstr>obalCommercialPartner3Pct</vt:lpstr>
      <vt:lpstr>obalCommercialPartner4Budget</vt:lpstr>
      <vt:lpstr>obalCommercialPartner4FTEs</vt:lpstr>
      <vt:lpstr>obalCommercialPartner4Pct</vt:lpstr>
      <vt:lpstr>obalCommercialPartnerDevelopment</vt:lpstr>
      <vt:lpstr>obalCommercialPartnerEducation</vt:lpstr>
      <vt:lpstr>obalCommercialPartnerIncentives</vt:lpstr>
      <vt:lpstr>obalCommercialProd1Marketing</vt:lpstr>
      <vt:lpstr>obalCommercialProd1MarketingPct</vt:lpstr>
      <vt:lpstr>obalCommercialProd1Price</vt:lpstr>
      <vt:lpstr>obalCommercialProd2Marketing</vt:lpstr>
      <vt:lpstr>obalCommercialProd2MarketingPct</vt:lpstr>
      <vt:lpstr>obalCommercialProd2Price</vt:lpstr>
      <vt:lpstr>obalCommercialProd3Marketing</vt:lpstr>
      <vt:lpstr>obalCommercialProd3MarketingPct</vt:lpstr>
      <vt:lpstr>obalCommercialProd3Price</vt:lpstr>
      <vt:lpstr>obalCommercialServicesFTEs</vt:lpstr>
      <vt:lpstr>obalCommercialSkill1</vt:lpstr>
      <vt:lpstr>obalCommercialSkill2</vt:lpstr>
      <vt:lpstr>obalCommercialSkill3</vt:lpstr>
      <vt:lpstr>obalCommercialTotalMarketing</vt:lpstr>
      <vt:lpstr>obalCommercialTotalMarketingPct</vt:lpstr>
      <vt:lpstr>obalCommercialTotalPartnerBudget</vt:lpstr>
      <vt:lpstr>obalCommercialTotalPartnerFTEs</vt:lpstr>
      <vt:lpstr>obalConsumerDirectSalesFTEs</vt:lpstr>
      <vt:lpstr>obalConsumerInsideSalesFTEs</vt:lpstr>
      <vt:lpstr>obalConsumerPartner4Budget</vt:lpstr>
      <vt:lpstr>obalConsumerPartner4Pct</vt:lpstr>
      <vt:lpstr>obalConsumerPartner5Budget</vt:lpstr>
      <vt:lpstr>obalConsumerPartner5Pct</vt:lpstr>
      <vt:lpstr>obalConsumerPartner6Budget</vt:lpstr>
      <vt:lpstr>obalConsumerPartner6Pct</vt:lpstr>
      <vt:lpstr>obalConsumerPartnerDevelopment</vt:lpstr>
      <vt:lpstr>obalConsumerPartnerEducation</vt:lpstr>
      <vt:lpstr>obalConsumerPartnerIncentives</vt:lpstr>
      <vt:lpstr>obalConsumerProd1Marketing</vt:lpstr>
      <vt:lpstr>obalConsumerProd1MarketingPct</vt:lpstr>
      <vt:lpstr>obalConsumerProd1Price</vt:lpstr>
      <vt:lpstr>obalConsumerProd3Marketing</vt:lpstr>
      <vt:lpstr>obalConsumerProd3MarketingPct</vt:lpstr>
      <vt:lpstr>obalConsumerProd3Price</vt:lpstr>
      <vt:lpstr>obalConsumerServicesFTEs</vt:lpstr>
      <vt:lpstr>obalConsumerSkill1</vt:lpstr>
      <vt:lpstr>obalConsumerSkill2</vt:lpstr>
      <vt:lpstr>obalConsumerTotalMarketing</vt:lpstr>
      <vt:lpstr>obalConsumerTotalMarketingPct</vt:lpstr>
      <vt:lpstr>obalConsumerTotalPartnerBudget</vt:lpstr>
      <vt:lpstr>obalCPE</vt:lpstr>
      <vt:lpstr>obalCustSuccess</vt:lpstr>
      <vt:lpstr>obalCustSuccessCSAT</vt:lpstr>
      <vt:lpstr>obalCustSuccessEE</vt:lpstr>
      <vt:lpstr>obalCustSuccessOpMargin</vt:lpstr>
      <vt:lpstr>obalCustSuccessRev</vt:lpstr>
      <vt:lpstr>obalEGInteroperability</vt:lpstr>
      <vt:lpstr>obalEGInteroperabilityDec</vt:lpstr>
      <vt:lpstr>obalEGProd1Offering1</vt:lpstr>
      <vt:lpstr>obalEGProd1Offering1Dec</vt:lpstr>
      <vt:lpstr>obalEGProd1Offering2</vt:lpstr>
      <vt:lpstr>obalEGProd1Offering2Dec</vt:lpstr>
      <vt:lpstr>obalEGProd2Offering1</vt:lpstr>
      <vt:lpstr>obalEGProd2Offering1Dec</vt:lpstr>
      <vt:lpstr>obalEGProd2Offering2</vt:lpstr>
      <vt:lpstr>obalEGProd2Offering2Dec</vt:lpstr>
      <vt:lpstr>obalEGProd3Offering1</vt:lpstr>
      <vt:lpstr>obalEGProd3Offering1Dec</vt:lpstr>
      <vt:lpstr>obalEGProd3Offering2</vt:lpstr>
      <vt:lpstr>obalEGProd3Offering2Dec</vt:lpstr>
      <vt:lpstr>obalEGScalability</vt:lpstr>
      <vt:lpstr>obalEGScalabilityDec</vt:lpstr>
      <vt:lpstr>obalEGSecurity</vt:lpstr>
      <vt:lpstr>obalEGSecurityDec</vt:lpstr>
      <vt:lpstr>obalETUs</vt:lpstr>
      <vt:lpstr>obalExecution</vt:lpstr>
      <vt:lpstr>obalHeadcount</vt:lpstr>
      <vt:lpstr>obalInternalReadiness</vt:lpstr>
      <vt:lpstr>obalNewHireProductivity</vt:lpstr>
      <vt:lpstr>obalOpsCollabFTEs</vt:lpstr>
      <vt:lpstr>obalOpsDataCenter</vt:lpstr>
      <vt:lpstr>obalOpsDataCenterUtilization</vt:lpstr>
      <vt:lpstr>obalOpsDataCenterValue</vt:lpstr>
      <vt:lpstr>obalOpsGlobalDemandCenterFTEs</vt:lpstr>
      <vt:lpstr>obalOpsITFTEs</vt:lpstr>
      <vt:lpstr>obalOpsProd1Seg1Share</vt:lpstr>
      <vt:lpstr>obalOpsProd1Seg2Share</vt:lpstr>
      <vt:lpstr>obalOpsProd1Seg3Share</vt:lpstr>
      <vt:lpstr>obalOpsProd2Seg1Share</vt:lpstr>
      <vt:lpstr>obalOpsProd2Seg2Share</vt:lpstr>
      <vt:lpstr>obalOpsProd3Seg1Share</vt:lpstr>
      <vt:lpstr>obalOpsProd3Seg2Share</vt:lpstr>
      <vt:lpstr>obalOpsProd3Seg3Share</vt:lpstr>
      <vt:lpstr>obalOpsSupplyChainFTEs</vt:lpstr>
      <vt:lpstr>obalOpsTotalMarketing</vt:lpstr>
      <vt:lpstr>ObalPaste</vt:lpstr>
      <vt:lpstr>obalProd1BaseNewCOGS</vt:lpstr>
      <vt:lpstr>obalProd1BaseRenewalCOGS</vt:lpstr>
      <vt:lpstr>obalProd1Seg1CloudAdoption</vt:lpstr>
      <vt:lpstr>obalProd1Seg1Consumption</vt:lpstr>
      <vt:lpstr>obalProd1Seg1DefRev</vt:lpstr>
      <vt:lpstr>obalProd1Seg1NewServicesCust</vt:lpstr>
      <vt:lpstr>obalProd1Seg1NewSubs</vt:lpstr>
      <vt:lpstr>obalProd1Seg1NonCloudSubs</vt:lpstr>
      <vt:lpstr>obalProd1Seg1RenewedServicesCust</vt:lpstr>
      <vt:lpstr>obalProd1Seg1RenewedSubs</vt:lpstr>
      <vt:lpstr>obalProd1Seg1RenRate</vt:lpstr>
      <vt:lpstr>obalProd1Seg1ServicesAttachRate</vt:lpstr>
      <vt:lpstr>obalProd1Seg1ServicesRenRate</vt:lpstr>
      <vt:lpstr>obalProd1Seg1TotalServicesCust</vt:lpstr>
      <vt:lpstr>obalProd1Seg1TotalSubs</vt:lpstr>
      <vt:lpstr>obalProd1Seg2CloudAdoption</vt:lpstr>
      <vt:lpstr>obalProd1Seg2Consumption</vt:lpstr>
      <vt:lpstr>obalProd1Seg2DefRev</vt:lpstr>
      <vt:lpstr>obalProd1Seg2NewServicesCust</vt:lpstr>
      <vt:lpstr>obalProd1Seg2NewSubs</vt:lpstr>
      <vt:lpstr>obalProd1Seg2NonCloudSubs</vt:lpstr>
      <vt:lpstr>obalProd1Seg2RenewedServicesCust</vt:lpstr>
      <vt:lpstr>obalProd1Seg2RenewedSubs</vt:lpstr>
      <vt:lpstr>obalProd1Seg2RenRate</vt:lpstr>
      <vt:lpstr>obalProd1Seg2ServicesAttachRate</vt:lpstr>
      <vt:lpstr>obalProd1Seg2ServicesRenRate</vt:lpstr>
      <vt:lpstr>obalProd1Seg2TotalServicesCust</vt:lpstr>
      <vt:lpstr>obalProd1Seg2TotalSubs</vt:lpstr>
      <vt:lpstr>obalProd1Seg3CloudAdoption</vt:lpstr>
      <vt:lpstr>obalProd1Seg3Consumption</vt:lpstr>
      <vt:lpstr>obalProd1Seg3DefRev</vt:lpstr>
      <vt:lpstr>obalProd1Seg3NewSubs</vt:lpstr>
      <vt:lpstr>obalProd1Seg3NonCloudSubs</vt:lpstr>
      <vt:lpstr>obalProd1Seg3RenewedSubs</vt:lpstr>
      <vt:lpstr>obalProd1Seg3RenRate</vt:lpstr>
      <vt:lpstr>obalProd1Seg3TotalSubs</vt:lpstr>
      <vt:lpstr>obalProd2BaseNewCOGS</vt:lpstr>
      <vt:lpstr>obalProd2BaseRenewalCOGS</vt:lpstr>
      <vt:lpstr>obalProd2Seg1Consumption</vt:lpstr>
      <vt:lpstr>obalProd2Seg1DefRev</vt:lpstr>
      <vt:lpstr>obalProd2Seg1NewServicesCust</vt:lpstr>
      <vt:lpstr>obalProd2Seg1NewSubs</vt:lpstr>
      <vt:lpstr>obalProd2Seg1RenewedServicesCust</vt:lpstr>
      <vt:lpstr>obalProd2Seg1RenewedSubs</vt:lpstr>
      <vt:lpstr>obalProd2Seg1RenRate</vt:lpstr>
      <vt:lpstr>obalProd2Seg1ServicesAttachRate</vt:lpstr>
      <vt:lpstr>obalProd2Seg1ServicesRenRate</vt:lpstr>
      <vt:lpstr>obalProd2Seg1TotalServicesCust</vt:lpstr>
      <vt:lpstr>obalProd2Seg1TotalSubs</vt:lpstr>
      <vt:lpstr>obalProd2Seg2Consumption</vt:lpstr>
      <vt:lpstr>obalProd2Seg2DefRev</vt:lpstr>
      <vt:lpstr>obalProd2Seg2NewServicesCust</vt:lpstr>
      <vt:lpstr>obalProd2Seg2NewSubs</vt:lpstr>
      <vt:lpstr>obalProd2Seg2RenewedServicesCust</vt:lpstr>
      <vt:lpstr>obalProd2Seg2RenewedSubs</vt:lpstr>
      <vt:lpstr>obalProd2Seg2RenRate</vt:lpstr>
      <vt:lpstr>obalProd2Seg2ServicesAttachRate</vt:lpstr>
      <vt:lpstr>obalProd2Seg2ServicesRenRate</vt:lpstr>
      <vt:lpstr>obalProd2Seg2TotalServicesCust</vt:lpstr>
      <vt:lpstr>obalProd2Seg2TotalSubs</vt:lpstr>
      <vt:lpstr>obalProd3BaseLaborCOGS</vt:lpstr>
      <vt:lpstr>obalProd3BaseMatCOGS</vt:lpstr>
      <vt:lpstr>obalTeamName</vt:lpstr>
      <vt:lpstr>obalTotalCloudSubs</vt:lpstr>
      <vt:lpstr>obalTotalRev</vt:lpstr>
      <vt:lpstr>obalTotalRevGrowth</vt:lpstr>
      <vt:lpstr>obalTotalScore</vt:lpstr>
      <vt:lpstr>obalWHI</vt:lpstr>
      <vt:lpstr>obalWobbler1R1</vt:lpstr>
      <vt:lpstr>obalWobbler1R2</vt:lpstr>
      <vt:lpstr>obalWobbler1R3</vt:lpstr>
      <vt:lpstr>obalWobbler2R1</vt:lpstr>
      <vt:lpstr>obalWobbler2R2</vt:lpstr>
      <vt:lpstr>obalWobbler2R3</vt:lpstr>
      <vt:lpstr>obalWobbler3R1</vt:lpstr>
      <vt:lpstr>obalWobbler3R2</vt:lpstr>
      <vt:lpstr>obalWobbler3R3</vt:lpstr>
      <vt:lpstr>obalWobbler4R1</vt:lpstr>
      <vt:lpstr>obalWobbler4R2</vt:lpstr>
      <vt:lpstr>obalWobbler4R3</vt:lpstr>
      <vt:lpstr>obalWobbler5R1</vt:lpstr>
      <vt:lpstr>obalWobbler5R2</vt:lpstr>
      <vt:lpstr>obalWobbler5R3</vt:lpstr>
      <vt:lpstr>obalWobbler6R1</vt:lpstr>
      <vt:lpstr>obalWobbler6R2</vt:lpstr>
      <vt:lpstr>obalWobbler6R3</vt:lpstr>
      <vt:lpstr>obalWobbler7R1</vt:lpstr>
      <vt:lpstr>obalWobbler7R2</vt:lpstr>
      <vt:lpstr>obalWobbler7R3</vt:lpstr>
      <vt:lpstr>obalWobbler8R1</vt:lpstr>
      <vt:lpstr>paramChallengeCollaboration</vt:lpstr>
      <vt:lpstr>paramChallengeCosts</vt:lpstr>
      <vt:lpstr>paramChallengeCPE</vt:lpstr>
      <vt:lpstr>paramChallengeCustSuccessCSAT</vt:lpstr>
      <vt:lpstr>paramChallengeCustSuccessOpMargin</vt:lpstr>
      <vt:lpstr>paramChallengeCustSuccessRev</vt:lpstr>
      <vt:lpstr>paramChallengeCustSuccessWHI</vt:lpstr>
      <vt:lpstr>paramChallengeExecution</vt:lpstr>
      <vt:lpstr>paramChallengeFTEs</vt:lpstr>
      <vt:lpstr>paramChallengeProd1Seg1COGS</vt:lpstr>
      <vt:lpstr>paramChallengeProd1Seg1Consumption</vt:lpstr>
      <vt:lpstr>paramChallengeProd1Seg1Revenue</vt:lpstr>
      <vt:lpstr>paramChallengeProd2CloudAdoption</vt:lpstr>
      <vt:lpstr>paramChallengeProd2Seg1COGS</vt:lpstr>
      <vt:lpstr>paramChallengeProd2Seg1Consumption</vt:lpstr>
      <vt:lpstr>paramChallengeProd2Seg1Revenue</vt:lpstr>
      <vt:lpstr>paramChallengeProd3Offering2</vt:lpstr>
      <vt:lpstr>paramChallengeProd3Seg3COGS</vt:lpstr>
      <vt:lpstr>paramChallengeProd3Seg3Revenue</vt:lpstr>
      <vt:lpstr>paramChallengeWHI</vt:lpstr>
      <vt:lpstr>paramDataCenterCost</vt:lpstr>
      <vt:lpstr>paramDirectSalesSalary</vt:lpstr>
      <vt:lpstr>paramEGOfferingCOGSPLevel</vt:lpstr>
      <vt:lpstr>paramEGPlatformCOGSPLevel</vt:lpstr>
      <vt:lpstr>paramFixedPartnerBudget</vt:lpstr>
      <vt:lpstr>paramHireDismissExpense</vt:lpstr>
      <vt:lpstr>paramInsideSalesSalary</vt:lpstr>
      <vt:lpstr>paramNewDataCenterExp</vt:lpstr>
      <vt:lpstr>paramOpsSalary</vt:lpstr>
      <vt:lpstr>paramPartnerSalary</vt:lpstr>
      <vt:lpstr>paramProd1COGSPNewUnit</vt:lpstr>
      <vt:lpstr>paramProd1COGSPNonCloudUnit</vt:lpstr>
      <vt:lpstr>paramProd1COGSPRenewalUnit</vt:lpstr>
      <vt:lpstr>paramProd1NonCloudLifetime</vt:lpstr>
      <vt:lpstr>paramProd2COGSPNewUnit</vt:lpstr>
      <vt:lpstr>paramProd2COGSPRenewalUnit</vt:lpstr>
      <vt:lpstr>paramProd3LaborCOGSPNewUnit</vt:lpstr>
      <vt:lpstr>paramProd3Lifetime</vt:lpstr>
      <vt:lpstr>paramProd3MatCOGSPNewUnit</vt:lpstr>
      <vt:lpstr>paramSeg1SubsPCustomer</vt:lpstr>
      <vt:lpstr>paramSeg2SubsPCustomer</vt:lpstr>
      <vt:lpstr>paramServicesCOGS</vt:lpstr>
      <vt:lpstr>paramServicesPrice</vt:lpstr>
      <vt:lpstr>paramServicesSalary</vt:lpstr>
      <vt:lpstr>paramUnallocatedSalary</vt:lpstr>
      <vt:lpstr>paramWACC</vt:lpstr>
      <vt:lpstr>Ping</vt:lpstr>
      <vt:lpstr>PopupWobbler_Round</vt:lpstr>
      <vt:lpstr>PopupWobbler_Sim0Tool1</vt:lpstr>
      <vt:lpstr>PopupWobbler_Timer</vt:lpstr>
      <vt:lpstr>PopupWobblerColorHeader</vt:lpstr>
      <vt:lpstr>PopupWobblerColorMouseMove</vt:lpstr>
      <vt:lpstr>PopupWobblerColorSelect</vt:lpstr>
      <vt:lpstr>PopupWobblerFontColor</vt:lpstr>
      <vt:lpstr>PopupWobblerShowAll</vt:lpstr>
      <vt:lpstr>RankCollaboration</vt:lpstr>
      <vt:lpstr>RankCommercialCLV</vt:lpstr>
      <vt:lpstr>RankConsumerCLV</vt:lpstr>
      <vt:lpstr>RankCPA</vt:lpstr>
      <vt:lpstr>RankProd1Seg1CLV</vt:lpstr>
      <vt:lpstr>RankProd1Seg2CLV</vt:lpstr>
      <vt:lpstr>RankProd1Seg3CLV</vt:lpstr>
      <vt:lpstr>RankProd2Seg1CLV</vt:lpstr>
      <vt:lpstr>RankProd2Seg2CLV</vt:lpstr>
      <vt:lpstr>RankProd3Seg1CLV</vt:lpstr>
      <vt:lpstr>RankProd3Seg2CLV</vt:lpstr>
      <vt:lpstr>RankProd3Seg3CLV</vt:lpstr>
      <vt:lpstr>RankTotalCLV</vt:lpstr>
      <vt:lpstr>RankWHI</vt:lpstr>
      <vt:lpstr>ScreentlInputCommercial</vt:lpstr>
      <vt:lpstr>ScreentlInputConsumer</vt:lpstr>
      <vt:lpstr>ScreentlInputEG</vt:lpstr>
      <vt:lpstr>ScreentlInputIntro</vt:lpstr>
      <vt:lpstr>ScreentlInputOps</vt:lpstr>
      <vt:lpstr>ScreentlInputPNL</vt:lpstr>
      <vt:lpstr>sim_OnResetGoTo</vt:lpstr>
      <vt:lpstr>tableKnownX1</vt:lpstr>
      <vt:lpstr>tableKnownY1</vt:lpstr>
      <vt:lpstr>tblMMProd1Drivers</vt:lpstr>
      <vt:lpstr>tblMMProd2Drivers</vt:lpstr>
      <vt:lpstr>tblMMProd3Drivers</vt:lpstr>
      <vt:lpstr>Team_1</vt:lpstr>
      <vt:lpstr>TestAuto_Names</vt:lpstr>
      <vt:lpstr>TestAuto_OutputMetrics</vt:lpstr>
      <vt:lpstr>TestAuto_Types</vt:lpstr>
      <vt:lpstr>TestAuto_Values</vt:lpstr>
      <vt:lpstr>tlCalibrateObal</vt:lpstr>
      <vt:lpstr>tlInputCommercialCloudMigration</vt:lpstr>
      <vt:lpstr>tlInputCommercialDirectSalesFTEs</vt:lpstr>
      <vt:lpstr>tlInputCommercialInsideSalesFTEs</vt:lpstr>
      <vt:lpstr>tlInputCommercialPartner1Pct</vt:lpstr>
      <vt:lpstr>tlInputCommercialPartner2Pct</vt:lpstr>
      <vt:lpstr>tlInputCommercialPartner3Pct</vt:lpstr>
      <vt:lpstr>tlInputCommercialPartner4Pct</vt:lpstr>
      <vt:lpstr>tlInputCommercialPartnerDevelopment</vt:lpstr>
      <vt:lpstr>tlInputCommercialPartnerEducation</vt:lpstr>
      <vt:lpstr>tlInputCommercialPartnerIncentives</vt:lpstr>
      <vt:lpstr>tlInputCommercialProd1Price</vt:lpstr>
      <vt:lpstr>tlInputCommercialProd1Seg1Share</vt:lpstr>
      <vt:lpstr>tlInputCommercialProd1Seg2Share</vt:lpstr>
      <vt:lpstr>tlInputCommercialProd2Price</vt:lpstr>
      <vt:lpstr>tlInputCommercialProd2Seg1Share</vt:lpstr>
      <vt:lpstr>tlInputCommercialProd2Seg2Share</vt:lpstr>
      <vt:lpstr>tlInputCommercialProd3Price</vt:lpstr>
      <vt:lpstr>tlInputCommercialProd3Seg1Share</vt:lpstr>
      <vt:lpstr>tlInputCommercialProd3Seg2Share</vt:lpstr>
      <vt:lpstr>tlInputCommercialServicesFTEs</vt:lpstr>
      <vt:lpstr>tlInputCommercialSkill1</vt:lpstr>
      <vt:lpstr>tlInputCommercialSkill2</vt:lpstr>
      <vt:lpstr>tlInputCommercialSkill3</vt:lpstr>
      <vt:lpstr>tlInputConsumerDirectSalesFTEs</vt:lpstr>
      <vt:lpstr>tlInputConsumerInsideSalesFTEs</vt:lpstr>
      <vt:lpstr>tlInputConsumerPartner4Pct</vt:lpstr>
      <vt:lpstr>tlInputConsumerPartner5Pct</vt:lpstr>
      <vt:lpstr>tlInputConsumerPartner6Pct</vt:lpstr>
      <vt:lpstr>tlInputConsumerPartnerDevelopment</vt:lpstr>
      <vt:lpstr>tlInputConsumerPartnerEducation</vt:lpstr>
      <vt:lpstr>tlInputConsumerPartnerIncentives</vt:lpstr>
      <vt:lpstr>tlInputConsumerProd1Price</vt:lpstr>
      <vt:lpstr>tlInputConsumerProd1Seg3Share</vt:lpstr>
      <vt:lpstr>tlInputConsumerProd3Price</vt:lpstr>
      <vt:lpstr>tlInputConsumerProd3Seg3Share</vt:lpstr>
      <vt:lpstr>tlInputConsumerServicesFTEs</vt:lpstr>
      <vt:lpstr>tlInputConsumerSkill1</vt:lpstr>
      <vt:lpstr>tlInputConsumerSkill2</vt:lpstr>
      <vt:lpstr>tlInputEGDesign</vt:lpstr>
      <vt:lpstr>tlInputEGInteroperability</vt:lpstr>
      <vt:lpstr>tlInputEGProd1Offering1</vt:lpstr>
      <vt:lpstr>tlInputEGProd1Offering2</vt:lpstr>
      <vt:lpstr>tlInputEGProd2Offering1</vt:lpstr>
      <vt:lpstr>tlInputEGProd2Offering2</vt:lpstr>
      <vt:lpstr>tlInputEGProd2Offering3</vt:lpstr>
      <vt:lpstr>tlInputEGProd3Offering1</vt:lpstr>
      <vt:lpstr>tlInputEGProd3Offering2</vt:lpstr>
      <vt:lpstr>tlInputEGProd3Offering3</vt:lpstr>
      <vt:lpstr>tlInputEGScalability</vt:lpstr>
      <vt:lpstr>tlInputEGSecurity</vt:lpstr>
      <vt:lpstr>tlInputErrorHandler</vt:lpstr>
      <vt:lpstr>tlInputOpsCollabFTEs</vt:lpstr>
      <vt:lpstr>tlInputOpsCommercialMarketingBudget</vt:lpstr>
      <vt:lpstr>tlInputOpsCommercialProd1Marketing</vt:lpstr>
      <vt:lpstr>tlInputOpsCommercialProd2Marketing</vt:lpstr>
      <vt:lpstr>tlInputOpsCommercialProd3Marketing</vt:lpstr>
      <vt:lpstr>tlInputOpsCommericalProd2Marketing</vt:lpstr>
      <vt:lpstr>tlInputOpsConsumerMarketingBudget</vt:lpstr>
      <vt:lpstr>tlInputOpsConsumerProd1Marketing</vt:lpstr>
      <vt:lpstr>tlInputOpsConsumerProd3Marketing</vt:lpstr>
      <vt:lpstr>tlInputOpsDataCenter</vt:lpstr>
      <vt:lpstr>tlInputOpsGlobalDemandCenterFTEs</vt:lpstr>
      <vt:lpstr>tlInputOpsITFTEs</vt:lpstr>
      <vt:lpstr>tlInputOpsSupplyChainFTEs</vt:lpstr>
      <vt:lpstr>tlInputOpsTotalMarketingBudget</vt:lpstr>
      <vt:lpstr>tlInputTeamName</vt:lpstr>
      <vt:lpstr>tlInputTeamNumber</vt:lpstr>
      <vt:lpstr>tlInputTeamRound</vt:lpstr>
      <vt:lpstr>tlInputWobbler1</vt:lpstr>
      <vt:lpstr>tlInputWobbler2</vt:lpstr>
      <vt:lpstr>tlInputWobbler3</vt:lpstr>
      <vt:lpstr>tlInputWobbler4</vt:lpstr>
      <vt:lpstr>tlInputWobbler5</vt:lpstr>
      <vt:lpstr>tlInputWobbler6</vt:lpstr>
      <vt:lpstr>tlInputWobbler7</vt:lpstr>
      <vt:lpstr>tlInputWobbler8</vt:lpstr>
      <vt:lpstr>tlInputWobblerCurrentTime</vt:lpstr>
      <vt:lpstr>tlobal_Paste</vt:lpstr>
      <vt:lpstr>tlobalAvgConsumption</vt:lpstr>
      <vt:lpstr>tlobalAvgRenRate</vt:lpstr>
      <vt:lpstr>tlobalCollab</vt:lpstr>
      <vt:lpstr>tlobalCommercialDirectSalesFTEs</vt:lpstr>
      <vt:lpstr>tlobalCommercialInsideSalesFTEs</vt:lpstr>
      <vt:lpstr>tlobalCommercialPartner1Budget</vt:lpstr>
      <vt:lpstr>tlobalCommercialPartner1FTEs</vt:lpstr>
      <vt:lpstr>tlobalCommercialPartner1Pct</vt:lpstr>
      <vt:lpstr>tlobalCommercialPartner2Budget</vt:lpstr>
      <vt:lpstr>tlobalCommercialPartner2FTEs</vt:lpstr>
      <vt:lpstr>tlobalCommercialPartner2Pct</vt:lpstr>
      <vt:lpstr>tlobalCommercialPartner3Budget</vt:lpstr>
      <vt:lpstr>tlobalCommercialPartner3FTEs</vt:lpstr>
      <vt:lpstr>tlobalCommercialPartner3Pct</vt:lpstr>
      <vt:lpstr>tlobalCommercialPartner4Budget</vt:lpstr>
      <vt:lpstr>tlobalCommercialPartner4FTEs</vt:lpstr>
      <vt:lpstr>tlobalCommercialPartner4Pct</vt:lpstr>
      <vt:lpstr>tlobalCommercialPartnerDevelopment</vt:lpstr>
      <vt:lpstr>tlobalCommercialPartnerEducation</vt:lpstr>
      <vt:lpstr>tlobalCommercialPartnerIncentives</vt:lpstr>
      <vt:lpstr>tlobalCommercialProd1Marketing</vt:lpstr>
      <vt:lpstr>tlobalCommercialProd1MarketingPct</vt:lpstr>
      <vt:lpstr>tlobalCommercialProd1Price</vt:lpstr>
      <vt:lpstr>tlobalCommercialProd2Marketing</vt:lpstr>
      <vt:lpstr>tlobalCommercialProd2MarketingPct</vt:lpstr>
      <vt:lpstr>tlobalCommercialProd2Price</vt:lpstr>
      <vt:lpstr>tlobalCommercialProd3Marketing</vt:lpstr>
      <vt:lpstr>tlobalCommercialProd3MarketingPct</vt:lpstr>
      <vt:lpstr>tlobalCommercialProd3Price</vt:lpstr>
      <vt:lpstr>tlobalCommercialServicesFTEs</vt:lpstr>
      <vt:lpstr>tlobalCommercialSkill1</vt:lpstr>
      <vt:lpstr>tlobalCommercialSkill2</vt:lpstr>
      <vt:lpstr>tlobalCommercialSkill3</vt:lpstr>
      <vt:lpstr>tlobalCommercialTotalMarketing</vt:lpstr>
      <vt:lpstr>tlobalCommercialTotalMarketingPct</vt:lpstr>
      <vt:lpstr>tlobalCommercialTotalPartnerBudget</vt:lpstr>
      <vt:lpstr>tlobalCommercialTotalPartnerFTEs</vt:lpstr>
      <vt:lpstr>tlobalConsumerDirectSalesFTEs</vt:lpstr>
      <vt:lpstr>tlobalConsumerInsideSalesFTEs</vt:lpstr>
      <vt:lpstr>tlobalConsumerPartner4Budget</vt:lpstr>
      <vt:lpstr>tlobalConsumerPartner4FTEs</vt:lpstr>
      <vt:lpstr>tlobalConsumerPartner4Pct</vt:lpstr>
      <vt:lpstr>tlobalConsumerPartner5Budget</vt:lpstr>
      <vt:lpstr>tlobalConsumerPartner5FTEs</vt:lpstr>
      <vt:lpstr>tlobalConsumerPartner5Pct</vt:lpstr>
      <vt:lpstr>tlobalConsumerPartner6Budget</vt:lpstr>
      <vt:lpstr>tlobalConsumerPartner6FTEs</vt:lpstr>
      <vt:lpstr>tlobalConsumerPartner6Pct</vt:lpstr>
      <vt:lpstr>tlobalConsumerPartnerDevelopment</vt:lpstr>
      <vt:lpstr>tlobalConsumerPartnerEducation</vt:lpstr>
      <vt:lpstr>tlobalConsumerPartnerIncentives</vt:lpstr>
      <vt:lpstr>tlobalConsumerProd1Marketing</vt:lpstr>
      <vt:lpstr>tlobalConsumerProd1MarketingPct</vt:lpstr>
      <vt:lpstr>tlobalConsumerProd1Price</vt:lpstr>
      <vt:lpstr>tlobalConsumerProd3Marketing</vt:lpstr>
      <vt:lpstr>tlobalConsumerProd3MarketingPct</vt:lpstr>
      <vt:lpstr>tlobalConsumerProd3Price</vt:lpstr>
      <vt:lpstr>tlobalConsumerServicesFTEs</vt:lpstr>
      <vt:lpstr>tlobalConsumerSkill1</vt:lpstr>
      <vt:lpstr>tlobalConsumerSkill2</vt:lpstr>
      <vt:lpstr>tlobalConsumerTotalMarketing</vt:lpstr>
      <vt:lpstr>tlobalConsumerTotalMarketingPct</vt:lpstr>
      <vt:lpstr>tlobalConsumerTotalPartnerBudget</vt:lpstr>
      <vt:lpstr>tlobalConsumerTotalPartnerFTEs</vt:lpstr>
      <vt:lpstr>tlobalCPE</vt:lpstr>
      <vt:lpstr>tlobalCustSuccess</vt:lpstr>
      <vt:lpstr>tlobalCustSuccessCSAT</vt:lpstr>
      <vt:lpstr>tlobalCustSuccessEE</vt:lpstr>
      <vt:lpstr>tlobalCustSuccessOpMargin</vt:lpstr>
      <vt:lpstr>tlobalCustSuccessRev</vt:lpstr>
      <vt:lpstr>tlobalEGInteroperability</vt:lpstr>
      <vt:lpstr>tlobalEGInteroperabilityDec</vt:lpstr>
      <vt:lpstr>tlobalEGProd1Offering1</vt:lpstr>
      <vt:lpstr>tlobalEGProd1Offering1Dec</vt:lpstr>
      <vt:lpstr>tlobalEGProd1Offering2</vt:lpstr>
      <vt:lpstr>tlobalEGProd1Offering2Dec</vt:lpstr>
      <vt:lpstr>tlobalEGProd2Offering1</vt:lpstr>
      <vt:lpstr>tlobalEGProd2Offering1Dec</vt:lpstr>
      <vt:lpstr>tlobalEGProd2Offering2</vt:lpstr>
      <vt:lpstr>tlobalEGProd2Offering2Dec</vt:lpstr>
      <vt:lpstr>tlobalEGProd3Offering1</vt:lpstr>
      <vt:lpstr>tlobalEGProd3Offering1Dec</vt:lpstr>
      <vt:lpstr>tlobalEGProd3Offering2</vt:lpstr>
      <vt:lpstr>tlobalEGProd3Offering2Dec</vt:lpstr>
      <vt:lpstr>tlobalEGScalability</vt:lpstr>
      <vt:lpstr>tlobalEGScalabilityDec</vt:lpstr>
      <vt:lpstr>tlobalEGSecurity</vt:lpstr>
      <vt:lpstr>tlobalEGSecurityDec</vt:lpstr>
      <vt:lpstr>tlobalETUs</vt:lpstr>
      <vt:lpstr>tlobalExecution</vt:lpstr>
      <vt:lpstr>tlobalHeadcount</vt:lpstr>
      <vt:lpstr>tlobalInternalReadiness</vt:lpstr>
      <vt:lpstr>tlobalNewHireProductivity</vt:lpstr>
      <vt:lpstr>tlobalOpsDataCenter</vt:lpstr>
      <vt:lpstr>tlobalOpsDataCenterUtilization</vt:lpstr>
      <vt:lpstr>tlobalOpsDataCenterValue</vt:lpstr>
      <vt:lpstr>tlobalOpsGlobalDemandCenterFTEs</vt:lpstr>
      <vt:lpstr>tlobalOpsITFTEs</vt:lpstr>
      <vt:lpstr>tlobalOpsProd1Seg1Share</vt:lpstr>
      <vt:lpstr>tlobalOpsProd1Seg2Share</vt:lpstr>
      <vt:lpstr>tlobalOpsProd1Seg3Share</vt:lpstr>
      <vt:lpstr>tlobalOpsProd2Seg1Share</vt:lpstr>
      <vt:lpstr>tlobalOpsProd2Seg2Share</vt:lpstr>
      <vt:lpstr>tlobalOpsProd3Seg1Share</vt:lpstr>
      <vt:lpstr>tlobalOpsProd3Seg2Share</vt:lpstr>
      <vt:lpstr>tlobalOpsProd3Seg3Share</vt:lpstr>
      <vt:lpstr>tlobalOpsSalesCollabFTEs</vt:lpstr>
      <vt:lpstr>tlobalOpsSupplyChainFTEs</vt:lpstr>
      <vt:lpstr>tlobalOpsTotalMarketing</vt:lpstr>
      <vt:lpstr>tlobalProd1BaseNewCOGS</vt:lpstr>
      <vt:lpstr>tlobalProd1BaseRenewalCOGS</vt:lpstr>
      <vt:lpstr>tlobalProd1Seg1CloudAdoption</vt:lpstr>
      <vt:lpstr>tlobalProd1Seg1Consumption</vt:lpstr>
      <vt:lpstr>tlobalProd1Seg1DefRev</vt:lpstr>
      <vt:lpstr>tlobalProd1Seg1NewServicesCust</vt:lpstr>
      <vt:lpstr>tlobalProd1Seg1NewSubs</vt:lpstr>
      <vt:lpstr>tlobalProd1Seg1NonCloudSubs</vt:lpstr>
      <vt:lpstr>tlobalProd1Seg1RenewedServicesCust</vt:lpstr>
      <vt:lpstr>tlobalProd1Seg1RenewedSubs</vt:lpstr>
      <vt:lpstr>tlobalProd1Seg1RenRate</vt:lpstr>
      <vt:lpstr>tlobalProd1Seg1ServicesAttachRate</vt:lpstr>
      <vt:lpstr>tlobalProd1Seg1ServicesRenRate</vt:lpstr>
      <vt:lpstr>tlobalProd1Seg1TotalServicesCust</vt:lpstr>
      <vt:lpstr>tlobalProd1Seg1TotalSubs</vt:lpstr>
      <vt:lpstr>tlobalProd1Seg2CloudAdoption</vt:lpstr>
      <vt:lpstr>tlobalProd1Seg2Consumption</vt:lpstr>
      <vt:lpstr>tlobalProd1Seg2DefRev</vt:lpstr>
      <vt:lpstr>tlobalProd1Seg2NewServicesCust</vt:lpstr>
      <vt:lpstr>tlobalProd1Seg2NewSubs</vt:lpstr>
      <vt:lpstr>tlobalProd1Seg2NonCloudSubs</vt:lpstr>
      <vt:lpstr>tlobalProd1Seg2RenewedServicesCust</vt:lpstr>
      <vt:lpstr>tlobalProd1Seg2RenewedSubs</vt:lpstr>
      <vt:lpstr>tlobalProd1Seg2RenRate</vt:lpstr>
      <vt:lpstr>tlobalProd1Seg2ServicesAttachRate</vt:lpstr>
      <vt:lpstr>tlobalProd1Seg2ServicesRenRate</vt:lpstr>
      <vt:lpstr>tlobalProd1Seg2TotalServicesCust</vt:lpstr>
      <vt:lpstr>tlobalProd1Seg2TotalSubs</vt:lpstr>
      <vt:lpstr>tlobalProd1Seg3CloudAdoption</vt:lpstr>
      <vt:lpstr>tlobalProd1Seg3Consumption</vt:lpstr>
      <vt:lpstr>tlobalProd1Seg3DefRev</vt:lpstr>
      <vt:lpstr>tlobalProd1Seg3NewSubs</vt:lpstr>
      <vt:lpstr>tlobalProd1Seg3RenewedSubs</vt:lpstr>
      <vt:lpstr>tlobalProd1Seg3RenRate</vt:lpstr>
      <vt:lpstr>tlobalProd1Seg3TotalSubs</vt:lpstr>
      <vt:lpstr>tlobalProd1TotalCLV</vt:lpstr>
      <vt:lpstr>tlobalProd2BaseNewCOGS</vt:lpstr>
      <vt:lpstr>tlobalProd2BaseRenewalCOGS</vt:lpstr>
      <vt:lpstr>tlobalProd2Seg1Consumption</vt:lpstr>
      <vt:lpstr>tlobalProd2Seg1DefRev</vt:lpstr>
      <vt:lpstr>tlobalProd2Seg1NewServicesCust</vt:lpstr>
      <vt:lpstr>tlobalProd2Seg1NewSubs</vt:lpstr>
      <vt:lpstr>tlobalProd2Seg1RenewedServicesCust</vt:lpstr>
      <vt:lpstr>tlobalProd2Seg1RenewedSubs</vt:lpstr>
      <vt:lpstr>tlobalProd2Seg1RenRate</vt:lpstr>
      <vt:lpstr>tlobalProd2Seg1ServicesAttachRate</vt:lpstr>
      <vt:lpstr>tlobalProd2Seg1ServicesRenRate</vt:lpstr>
      <vt:lpstr>tlobalProd2Seg1TotalServicesCust</vt:lpstr>
      <vt:lpstr>tlobalProd2Seg1TotalSubs</vt:lpstr>
      <vt:lpstr>tlobalProd2Seg2Consumption</vt:lpstr>
      <vt:lpstr>tlobalProd2Seg2DefRev</vt:lpstr>
      <vt:lpstr>tlobalProd2Seg2NewServicesCust</vt:lpstr>
      <vt:lpstr>tlobalProd2Seg2NewSubs</vt:lpstr>
      <vt:lpstr>tlobalProd2Seg2RenewedServicesCust</vt:lpstr>
      <vt:lpstr>tlobalProd2Seg2RenewedSubs</vt:lpstr>
      <vt:lpstr>tlobalProd2Seg2RenRate</vt:lpstr>
      <vt:lpstr>tlobalProd2Seg2ServicesAttachRate</vt:lpstr>
      <vt:lpstr>tlobalProd2Seg2ServicesRenRate</vt:lpstr>
      <vt:lpstr>tlobalProd2Seg2TotalServicesCust</vt:lpstr>
      <vt:lpstr>tlobalProd2Seg2TotalSubs</vt:lpstr>
      <vt:lpstr>tlobalProd2TotalCLV</vt:lpstr>
      <vt:lpstr>tlobalProd3BaseLaborCOGS</vt:lpstr>
      <vt:lpstr>tlobalProd3BaseMatCOGS</vt:lpstr>
      <vt:lpstr>tlobalProd3TotalCLV</vt:lpstr>
      <vt:lpstr>tlobalTeamName</vt:lpstr>
      <vt:lpstr>tlobalTotalCloudSubs</vt:lpstr>
      <vt:lpstr>tlobalTotalCLV</vt:lpstr>
      <vt:lpstr>tlobalTotalRev</vt:lpstr>
      <vt:lpstr>tlobalTotalRevGrowth</vt:lpstr>
      <vt:lpstr>tlobalTotalScore</vt:lpstr>
      <vt:lpstr>tlobalWHI</vt:lpstr>
      <vt:lpstr>tlOutputCommercialDashboardAvgChurn</vt:lpstr>
      <vt:lpstr>tlOutputCommercialDashboardAvgConsumption</vt:lpstr>
      <vt:lpstr>tlOutputCommercialDashboardCloudAdopt</vt:lpstr>
      <vt:lpstr>tlOutputCommercialDashboardCLV</vt:lpstr>
      <vt:lpstr>tlOutputCommercialDashboardCPE</vt:lpstr>
      <vt:lpstr>tlOutputCommercialDashboardFTEs</vt:lpstr>
      <vt:lpstr>tlOutputCommercialDashboardGrossMargin</vt:lpstr>
      <vt:lpstr>tlOutputCommercialDashboardGrossProfit</vt:lpstr>
      <vt:lpstr>tlOutputCommercialDashboardOpMargin</vt:lpstr>
      <vt:lpstr>tlOutputCommercialDashboardOpProfit</vt:lpstr>
      <vt:lpstr>tlOutputCommercialDashboardRev</vt:lpstr>
      <vt:lpstr>tlOutputCommercialDashboardRevGrowth</vt:lpstr>
      <vt:lpstr>tlOutputCommercialDashboardWHI</vt:lpstr>
      <vt:lpstr>tlOutputCommercialInternalReadiness</vt:lpstr>
      <vt:lpstr>tlOutputCommercialLabelCustSuccess</vt:lpstr>
      <vt:lpstr>tlOutputCommercialLabelPartner1</vt:lpstr>
      <vt:lpstr>tlOutputCommercialLabelPartner2</vt:lpstr>
      <vt:lpstr>tlOutputCommercialLabelPartner3</vt:lpstr>
      <vt:lpstr>tlOutputCommercialLabelPartner4</vt:lpstr>
      <vt:lpstr>tlOutputCommercialLabelSkill1</vt:lpstr>
      <vt:lpstr>tlOutputCommercialLabelSkill2</vt:lpstr>
      <vt:lpstr>tlOutputCommercialLabelSkill3</vt:lpstr>
      <vt:lpstr>tlOutputCommercialPartner1Exp</vt:lpstr>
      <vt:lpstr>tlOutputCommercialPartner1FTes</vt:lpstr>
      <vt:lpstr>tlOutputCommercialPartner2Exp</vt:lpstr>
      <vt:lpstr>tlOutputCommercialPartner2FTEs</vt:lpstr>
      <vt:lpstr>tlOutputCommercialPartner3Exp</vt:lpstr>
      <vt:lpstr>tlOutputCommercialPartner3FTEs</vt:lpstr>
      <vt:lpstr>tlOutputCommercialPartner4Exp</vt:lpstr>
      <vt:lpstr>tlOutputCommercialPartner4FTEs</vt:lpstr>
      <vt:lpstr>tlOutputCommercialPartnerDevelopExp</vt:lpstr>
      <vt:lpstr>tlOutputCommercialPartnerDevelopFTEs</vt:lpstr>
      <vt:lpstr>tlOutputCommercialPartnerDevelopTotalInvest</vt:lpstr>
      <vt:lpstr>tlOutputCommercialPartnerEducationExp</vt:lpstr>
      <vt:lpstr>tlOutputCommercialPartnerEducationFTEs</vt:lpstr>
      <vt:lpstr>tlOutputCommercialPartnerEducationTotalInvest</vt:lpstr>
      <vt:lpstr>tlOutputCommercialPartnerIncentivesExp</vt:lpstr>
      <vt:lpstr>tlOutputCommercialPartnerIncentivesFTEs</vt:lpstr>
      <vt:lpstr>tlOutputCommercialPartnerIncentivesTotalInvest</vt:lpstr>
      <vt:lpstr>tlOutputCommercialProd1Seg1ShareOpening</vt:lpstr>
      <vt:lpstr>tlOutputCommercialProd1Seg2ShareOpening</vt:lpstr>
      <vt:lpstr>tlOutputCommercialProd2Seg1ShareOpening</vt:lpstr>
      <vt:lpstr>tlOutputCommercialProd2Seg2ShareOpening</vt:lpstr>
      <vt:lpstr>tlOutputCommercialProd3Seg1ShareOpening</vt:lpstr>
      <vt:lpstr>tlOutputCommercialProd3Seg2ShareOpening</vt:lpstr>
      <vt:lpstr>tlOutputCommercialResource1Opening</vt:lpstr>
      <vt:lpstr>tlOutputCommercialResource2Opening</vt:lpstr>
      <vt:lpstr>tlOutputCommercialResource3Opening</vt:lpstr>
      <vt:lpstr>tlOutputCommercialSkill1Exp</vt:lpstr>
      <vt:lpstr>tlOutputCommercialSkill1FTEs</vt:lpstr>
      <vt:lpstr>tlOutputCommercialSkill1TotalInvest</vt:lpstr>
      <vt:lpstr>tlOutputCommercialSkill2Exp</vt:lpstr>
      <vt:lpstr>tlOutputCommercialSkill2FTEs</vt:lpstr>
      <vt:lpstr>tlOutputCommercialSkill2TotalInvest</vt:lpstr>
      <vt:lpstr>tlOutputCommercialSkill3Exp</vt:lpstr>
      <vt:lpstr>tlOutputCommercialSkill3FTEs</vt:lpstr>
      <vt:lpstr>tlOutputCommercialSkill3TotalInvest</vt:lpstr>
      <vt:lpstr>tlOutputConsumerDashboardAvgChurn</vt:lpstr>
      <vt:lpstr>tlOutputConsumerDashboardAvgConsumption</vt:lpstr>
      <vt:lpstr>tlOutputConsumerDashboardCloudAdopt</vt:lpstr>
      <vt:lpstr>tlOutputConsumerDashboardCLV</vt:lpstr>
      <vt:lpstr>tlOutputConsumerDashboardCPE</vt:lpstr>
      <vt:lpstr>tlOutputConsumerDashboardFTEs</vt:lpstr>
      <vt:lpstr>tlOutputConsumerDashboardGrossMargin</vt:lpstr>
      <vt:lpstr>tlOutputConsumerDashboardGrossProfit</vt:lpstr>
      <vt:lpstr>tlOutputConsumerDashboardOpMargin</vt:lpstr>
      <vt:lpstr>tlOutputConsumerDashboardOpProfit</vt:lpstr>
      <vt:lpstr>tlOutputConsumerDashboardRev</vt:lpstr>
      <vt:lpstr>tlOutputConsumerDashboardRevGrowth</vt:lpstr>
      <vt:lpstr>tlOutputConsumerDashboardWHI</vt:lpstr>
      <vt:lpstr>tlOutputConsumerLabelCustSuccess</vt:lpstr>
      <vt:lpstr>tlOutputConsumerLabelPartner4</vt:lpstr>
      <vt:lpstr>tlOutputConsumerLabelPartner5</vt:lpstr>
      <vt:lpstr>tlOutputConsumerLabelPartner6</vt:lpstr>
      <vt:lpstr>tlOutputConsumerLabelResource1</vt:lpstr>
      <vt:lpstr>tlOutputConsumerLabelResource2</vt:lpstr>
      <vt:lpstr>tlOutputConsumerLabelResource3</vt:lpstr>
      <vt:lpstr>tlOutputConsumerLabelSkill1</vt:lpstr>
      <vt:lpstr>tlOutputConsumerLabelSkill2</vt:lpstr>
      <vt:lpstr>tlOutputConsumerPartner4Exp</vt:lpstr>
      <vt:lpstr>tlOutputConsumerPartner4FTes</vt:lpstr>
      <vt:lpstr>tlOutputConsumerPartner5Exp</vt:lpstr>
      <vt:lpstr>tlOutputConsumerPartner5FTEs</vt:lpstr>
      <vt:lpstr>tlOutputConsumerPartner6Exp</vt:lpstr>
      <vt:lpstr>tlOutputConsumerPartner6FTEs</vt:lpstr>
      <vt:lpstr>tlOutputConsumerPartnerDevelopExp</vt:lpstr>
      <vt:lpstr>tlOutputConsumerPartnerDevelopFTEs</vt:lpstr>
      <vt:lpstr>tlOutputConsumerPartnerDevelopTotalInvest</vt:lpstr>
      <vt:lpstr>tlOutputConsumerPartnerEducationClosing</vt:lpstr>
      <vt:lpstr>tlOutputConsumerPartnerEducationExp</vt:lpstr>
      <vt:lpstr>tlOutputConsumerPartnerEducationFTEs</vt:lpstr>
      <vt:lpstr>tlOutputConsumerPartnerIncentivesClosing</vt:lpstr>
      <vt:lpstr>tlOutputConsumerPartnerIncentivesExp</vt:lpstr>
      <vt:lpstr>tlOutputConsumerPartnerIncentivesFTEs</vt:lpstr>
      <vt:lpstr>tlOutputConsumerProd1Seg3ShareOpening</vt:lpstr>
      <vt:lpstr>tlOutputConsumerProd3Seg3ShareOpening</vt:lpstr>
      <vt:lpstr>tlOutputConsumerResource1Opening</vt:lpstr>
      <vt:lpstr>tlOutputConsumerResource2Opening</vt:lpstr>
      <vt:lpstr>tlOutputConsumerResource3Opening</vt:lpstr>
      <vt:lpstr>tlOutputConsumerSkill1Exp</vt:lpstr>
      <vt:lpstr>tlOutputConsumerSkill1FTEs</vt:lpstr>
      <vt:lpstr>tlOutputConsumerSkill1TotalInvest</vt:lpstr>
      <vt:lpstr>tlOutputConsumerSkill2Exp</vt:lpstr>
      <vt:lpstr>tlOutputConsumerSkill2FTEs</vt:lpstr>
      <vt:lpstr>tlOutputConsumerSkill2TotalInvest</vt:lpstr>
      <vt:lpstr>tlOutputEGDashboard1</vt:lpstr>
      <vt:lpstr>tlOutputEGDashboardAvgChurn</vt:lpstr>
      <vt:lpstr>tlOutputEGDashboardAvgConsumption</vt:lpstr>
      <vt:lpstr>tlOutputEGDashboardCloudAdopt</vt:lpstr>
      <vt:lpstr>tlOutputEGDashboardCLV</vt:lpstr>
      <vt:lpstr>tlOutputEGDashboardCPE</vt:lpstr>
      <vt:lpstr>tlOutputEGDashboardETUs</vt:lpstr>
      <vt:lpstr>tlOutputEGDashboardGrossMargin</vt:lpstr>
      <vt:lpstr>tlOutputEGDashboardGrossProfit</vt:lpstr>
      <vt:lpstr>tlOutputEGDashboardOpMargin</vt:lpstr>
      <vt:lpstr>tlOutputEGDashboardOpProfit</vt:lpstr>
      <vt:lpstr>tlOutputEGDashboardRev</vt:lpstr>
      <vt:lpstr>tlOutputEGDashboardRevGrowth</vt:lpstr>
      <vt:lpstr>tlOutputEGDashboardWHI</vt:lpstr>
      <vt:lpstr>tlOutputEGInteroperabilityETUs</vt:lpstr>
      <vt:lpstr>tlOutputEGInteroperabilityTotalInvest</vt:lpstr>
      <vt:lpstr>tlOutputEGLabelCustSuccess</vt:lpstr>
      <vt:lpstr>tlOutputEGLabelPlatform1</vt:lpstr>
      <vt:lpstr>tlOutputEGLabelPlatform2</vt:lpstr>
      <vt:lpstr>tlOutputEGLabelPlatform3</vt:lpstr>
      <vt:lpstr>tlOutputEGLabelProd1Offering1</vt:lpstr>
      <vt:lpstr>tlOutputEGLabelProd1Offering2</vt:lpstr>
      <vt:lpstr>tlOutputEGLabelProd2Offering1</vt:lpstr>
      <vt:lpstr>tlOutputEGLabelProd2Offering2</vt:lpstr>
      <vt:lpstr>tlOutputEGLabelProd3Offering1</vt:lpstr>
      <vt:lpstr>tlOutputEGLabelProd3Offering2</vt:lpstr>
      <vt:lpstr>tlOutputEGScalabilityClosing</vt:lpstr>
      <vt:lpstr>tlOutputEGScalabilityETUs</vt:lpstr>
      <vt:lpstr>tlOutputEGSecurityClosing</vt:lpstr>
      <vt:lpstr>tlOutputEGSecurityETUs</vt:lpstr>
      <vt:lpstr>tlOutputEGSProd1Offering1Closing</vt:lpstr>
      <vt:lpstr>tlOutputEGSProd1Offering1ETUs</vt:lpstr>
      <vt:lpstr>tlOutputEGSProd1Offering2Closing</vt:lpstr>
      <vt:lpstr>tlOutputEGSProd1Offering2ETUs</vt:lpstr>
      <vt:lpstr>tlOutputEGSProd2Offering1Closing</vt:lpstr>
      <vt:lpstr>tlOutputEGSProd2Offering1ETUs</vt:lpstr>
      <vt:lpstr>tlOutputEGSProd2Offering2Closing</vt:lpstr>
      <vt:lpstr>tlOutputEGSProd2Offering2ETUs</vt:lpstr>
      <vt:lpstr>tlOutputEGSProd3Offering1Closing</vt:lpstr>
      <vt:lpstr>tlOutputEGSProd3Offering1ETUs</vt:lpstr>
      <vt:lpstr>tlOutputEGSProd3Offering2Closing</vt:lpstr>
      <vt:lpstr>tlOutputEGSProd3Offering2ETUs</vt:lpstr>
      <vt:lpstr>tlOutputGraphsCloudChurn</vt:lpstr>
      <vt:lpstr>tlOutputGraphsCloudMigrate</vt:lpstr>
      <vt:lpstr>tlOutputGraphsCloudSubs</vt:lpstr>
      <vt:lpstr>tlOutputGraphsCommercialResource1Closing</vt:lpstr>
      <vt:lpstr>tlOutputGraphsCommercialResource1IndAvg</vt:lpstr>
      <vt:lpstr>tlOutputGraphsCommercialResource1Opening</vt:lpstr>
      <vt:lpstr>tlOutputGraphsCommercialResource2Closing</vt:lpstr>
      <vt:lpstr>tlOutputGraphsCommercialResource2IndAvg</vt:lpstr>
      <vt:lpstr>tlOutputGraphsCommercialResource2Opening</vt:lpstr>
      <vt:lpstr>tlOutputGraphsCommercialResource3Closing</vt:lpstr>
      <vt:lpstr>tlOutputGraphsCommercialResource3IndAvg</vt:lpstr>
      <vt:lpstr>tlOutputGraphsCommercialResource3Opening</vt:lpstr>
      <vt:lpstr>tlOutputGraphsCommercialSkill1Closing</vt:lpstr>
      <vt:lpstr>tlOutputGraphsCommercialSkill1IndAvg</vt:lpstr>
      <vt:lpstr>tlOutputGraphsCommercialSkill1Opening</vt:lpstr>
      <vt:lpstr>tlOutputGraphsCommercialSkill2Closing</vt:lpstr>
      <vt:lpstr>tlOutputGraphsCommercialSkill2IndAvg</vt:lpstr>
      <vt:lpstr>tlOutputGraphsCommercialSkill2Opening</vt:lpstr>
      <vt:lpstr>tlOutputGraphsCommercialSkill3Closing</vt:lpstr>
      <vt:lpstr>tlOutputGraphsCommercialSkill3IndAvg</vt:lpstr>
      <vt:lpstr>tlOutputGraphsCommercialSkill3Opening</vt:lpstr>
      <vt:lpstr>tlOutputGraphsConsumerResource1Closing</vt:lpstr>
      <vt:lpstr>tlOutputGraphsConsumerResource1IndAvg</vt:lpstr>
      <vt:lpstr>tlOutputGraphsConsumerResource1Opening</vt:lpstr>
      <vt:lpstr>tlOutputGraphsConsumerResource2Closing</vt:lpstr>
      <vt:lpstr>tlOutputGraphsConsumerResource2IndAvg</vt:lpstr>
      <vt:lpstr>tlOutputGraphsConsumerResource2Opening</vt:lpstr>
      <vt:lpstr>tlOutputGraphsConsumerResource3Closing</vt:lpstr>
      <vt:lpstr>tlOutputGraphsConsumerResource3IndAvg</vt:lpstr>
      <vt:lpstr>tlOutputGraphsConsumerResource3Opening</vt:lpstr>
      <vt:lpstr>tlOutputGraphsConsumerSkill1Closing</vt:lpstr>
      <vt:lpstr>tlOutputGraphsConsumerSkill1IndAvg</vt:lpstr>
      <vt:lpstr>tlOutputGraphsConsumerSkill1Opening</vt:lpstr>
      <vt:lpstr>tlOutputGraphsConsumerSkill2Closing</vt:lpstr>
      <vt:lpstr>tlOutputGraphsConsumerSkill2IndAvg</vt:lpstr>
      <vt:lpstr>tlOutputGraphsConsumerSkill2Opening</vt:lpstr>
      <vt:lpstr>tlOutputGraphsCustCSATClosing</vt:lpstr>
      <vt:lpstr>tlOutputGraphsCustCSATOpening</vt:lpstr>
      <vt:lpstr>tlOutputGraphsCustEEClosing</vt:lpstr>
      <vt:lpstr>tlOutputGraphsCustEEOpening</vt:lpstr>
      <vt:lpstr>tlOutputGraphsCustOpMarginClosing</vt:lpstr>
      <vt:lpstr>tlOutputGraphsCustOpMarginOpening</vt:lpstr>
      <vt:lpstr>tlOutputGraphsCustRevenueClosing</vt:lpstr>
      <vt:lpstr>tlOutputGraphsCustRevenueOpening</vt:lpstr>
      <vt:lpstr>tlOutputGraphsDCAvail</vt:lpstr>
      <vt:lpstr>tlOutputGraphsDCUtilized</vt:lpstr>
      <vt:lpstr>tlOutputGraphsInteroperabilityClosing</vt:lpstr>
      <vt:lpstr>tlOutputGraphsInteroperabilityIndAvg</vt:lpstr>
      <vt:lpstr>tlOutputGraphsInteroperabilityOpening</vt:lpstr>
      <vt:lpstr>tlOutputGraphsLabelCloudChurn</vt:lpstr>
      <vt:lpstr>tlOutputGraphsLabelCloudMigrated</vt:lpstr>
      <vt:lpstr>tlOutputGraphsLabelCloudSubs</vt:lpstr>
      <vt:lpstr>tlOutputGraphsLabelCommercialProd1Seg1</vt:lpstr>
      <vt:lpstr>tlOutputGraphsLabelCommercialProd1Seg2</vt:lpstr>
      <vt:lpstr>tlOutputGraphsLabelCommercialProd1Seg3</vt:lpstr>
      <vt:lpstr>tlOutputGraphsLabelCommercialProd2Seg1</vt:lpstr>
      <vt:lpstr>tlOutputGraphsLabelCommercialProd2Seg2</vt:lpstr>
      <vt:lpstr>tlOutputGraphsLabelCommercialProd3Seg2</vt:lpstr>
      <vt:lpstr>tlOutputGraphsLabelCommercialResource1</vt:lpstr>
      <vt:lpstr>tlOutputGraphsLabelCommercialResource2</vt:lpstr>
      <vt:lpstr>tlOutputGraphsLabelCommercialResource3</vt:lpstr>
      <vt:lpstr>tlOutputGraphsLabelCommercialResourcesIndAvg</vt:lpstr>
      <vt:lpstr>tlOutputGraphsLabelCommercialResourcesLastRound</vt:lpstr>
      <vt:lpstr>tlOutputGraphsLabelCommercialResourcesThisRound</vt:lpstr>
      <vt:lpstr>tlOutputGraphsLabelCommercialSkill1</vt:lpstr>
      <vt:lpstr>tlOutputGraphsLabelCommercialSkill2</vt:lpstr>
      <vt:lpstr>tlOutputGraphsLabelCommercialSkill3</vt:lpstr>
      <vt:lpstr>tlOutputGraphsLabelCommercialSkillsIndAvg</vt:lpstr>
      <vt:lpstr>tlOutputGraphsLabelCommercialSkillsLastRound</vt:lpstr>
      <vt:lpstr>tlOutputGraphsLabelCommercialSkillsThisRound</vt:lpstr>
      <vt:lpstr>tlOutputGraphsLabelConsumerProd3Seg1</vt:lpstr>
      <vt:lpstr>tlOutputGraphsLabelConsumerProd3Seg3</vt:lpstr>
      <vt:lpstr>tlOutputGraphsLabelConsumerResource1</vt:lpstr>
      <vt:lpstr>tlOutputGraphsLabelConsumerResource2</vt:lpstr>
      <vt:lpstr>tlOutputGraphsLabelConsumerResource3</vt:lpstr>
      <vt:lpstr>tlOutputGraphsLabelConsumerResourcesIndAvg</vt:lpstr>
      <vt:lpstr>tlOutputGraphsLabelConsumerResourcesLastRound</vt:lpstr>
      <vt:lpstr>tlOutputGraphsLabelConsumerResourcesThisRound</vt:lpstr>
      <vt:lpstr>tlOutputGraphsLabelConsumerSkill1</vt:lpstr>
      <vt:lpstr>tlOutputGraphsLabelConsumerSkill2</vt:lpstr>
      <vt:lpstr>tlOutputGraphsLabelConsumerSkillsIndAvg</vt:lpstr>
      <vt:lpstr>tlOutputGraphsLabelConsumerSkillsLastRound</vt:lpstr>
      <vt:lpstr>tlOutputGraphsLabelConsumerSkillsThisRound</vt:lpstr>
      <vt:lpstr>tlOutputGraphsLabelCustCSAT</vt:lpstr>
      <vt:lpstr>tlOutputGraphsLabelCustCSATLastRound</vt:lpstr>
      <vt:lpstr>tlOutputGraphsLabelCustCSATThisRound</vt:lpstr>
      <vt:lpstr>tlOutputGraphsLabelCustEE</vt:lpstr>
      <vt:lpstr>tlOutputGraphsLabelCustEELastRound</vt:lpstr>
      <vt:lpstr>tlOutputGraphsLabelCustEEThisRound</vt:lpstr>
      <vt:lpstr>tlOutputGraphsLabelCustOpMargin</vt:lpstr>
      <vt:lpstr>tlOutputGraphsLabelCustOpMarginLastRound</vt:lpstr>
      <vt:lpstr>tlOutputGraphsLabelCustOpMarginThisRound</vt:lpstr>
      <vt:lpstr>tlOutputGraphsLabelCustRevenue</vt:lpstr>
      <vt:lpstr>tlOutputGraphsLabelCustRevenueLastRound</vt:lpstr>
      <vt:lpstr>tlOutputGraphsLabelCustRevenueThisRound</vt:lpstr>
      <vt:lpstr>tlOutputGraphsLabelDCAvail</vt:lpstr>
      <vt:lpstr>tlOutputGraphsLabelDCUtilized</vt:lpstr>
      <vt:lpstr>tlOutputGraphsLabelEGPlatformIndAvg</vt:lpstr>
      <vt:lpstr>tlOutputGraphsLabelEGPlatformLastRound</vt:lpstr>
      <vt:lpstr>tlOutputGraphsLabelEGPlatformThisRound</vt:lpstr>
      <vt:lpstr>tlOutputGraphsLabelEGProd1IndAvg</vt:lpstr>
      <vt:lpstr>tlOutputGraphsLabelEGProd1LastRound</vt:lpstr>
      <vt:lpstr>tlOutputGraphsLabelEGProd1ThisRound</vt:lpstr>
      <vt:lpstr>tlOutputGraphsLabelEGProd2IndAvg</vt:lpstr>
      <vt:lpstr>tlOutputGraphsLabelEGProd2LastRound</vt:lpstr>
      <vt:lpstr>tlOutputGraphsLabelEGProd2ThisRound</vt:lpstr>
      <vt:lpstr>tlOutputGraphsLabelEGProd3IndAvg</vt:lpstr>
      <vt:lpstr>tlOutputGraphsLabelEGProd3LastRound</vt:lpstr>
      <vt:lpstr>tlOutputGraphsLabelEGProd3ThisRound</vt:lpstr>
      <vt:lpstr>tlOutputGraphsLabelInteroperability</vt:lpstr>
      <vt:lpstr>tlOutputGraphsLabelIntReadinessIClosing</vt:lpstr>
      <vt:lpstr>tlOutputGraphsLabelIntReadinessInfrastructure</vt:lpstr>
      <vt:lpstr>tlOutputGraphsLabelIntReadinessITFTEs</vt:lpstr>
      <vt:lpstr>tlOutputGraphsLabelIntReadinessOpening</vt:lpstr>
      <vt:lpstr>tlOutputGraphsLabelIntReadinessSupplyChainFTEs</vt:lpstr>
      <vt:lpstr>tlOutputGraphsLabelOnPremiseLicense</vt:lpstr>
      <vt:lpstr>tlOutputGraphsLabelProd1Offering1</vt:lpstr>
      <vt:lpstr>tlOutputGraphsLabelProd1Offering2</vt:lpstr>
      <vt:lpstr>tlOutputGraphsLabelProd2Offering1</vt:lpstr>
      <vt:lpstr>tlOutputGraphsLabelProd2Offering2</vt:lpstr>
      <vt:lpstr>tlOutputGraphsLabelProd3Offering1</vt:lpstr>
      <vt:lpstr>tlOutputGraphsLabelProd3Offering2</vt:lpstr>
      <vt:lpstr>tlOutputGraphsLabelScalability</vt:lpstr>
      <vt:lpstr>tlOutputGraphsLabelSecurity</vt:lpstr>
      <vt:lpstr>tlOutputGraphsLabelSeg1DefRev</vt:lpstr>
      <vt:lpstr>tlOutputGraphsLabelSeg1NewRev</vt:lpstr>
      <vt:lpstr>tlOutputGraphsLabelSeg1OnPremRev</vt:lpstr>
      <vt:lpstr>tlOutputGraphsLabelSeg1RenewedRev</vt:lpstr>
      <vt:lpstr>tlOutputGraphsLabelSeg1ServicesRev</vt:lpstr>
      <vt:lpstr>tlOutputGraphsLabelSeg1TotalRev</vt:lpstr>
      <vt:lpstr>tlOutputGraphsLabelSeg2DefRev</vt:lpstr>
      <vt:lpstr>tlOutputGraphsLabelSeg2NewRev</vt:lpstr>
      <vt:lpstr>tlOutputGraphsLabelSeg2OnPremRev</vt:lpstr>
      <vt:lpstr>tlOutputGraphsLabelSeg2RenewedRev</vt:lpstr>
      <vt:lpstr>tlOutputGraphsLabelSeg2ServicesRev</vt:lpstr>
      <vt:lpstr>tlOutputGraphsLabelSeg2TotalRev</vt:lpstr>
      <vt:lpstr>tlOutputGraphsLabelSeg3DefRev</vt:lpstr>
      <vt:lpstr>tlOutputGraphsLabelSeg3NewRev</vt:lpstr>
      <vt:lpstr>tlOutputGraphsLabelSeg3OnPremRev</vt:lpstr>
      <vt:lpstr>tlOutputGraphsLabelSeg3RenewedRev</vt:lpstr>
      <vt:lpstr>tlOutputGraphsLabelSeg3TotalRev</vt:lpstr>
      <vt:lpstr>tlOutputGraphsLIntReadinessClosing</vt:lpstr>
      <vt:lpstr>tlOutputGraphsLIntReadinessInfrastructure</vt:lpstr>
      <vt:lpstr>tlOutputGraphsLIntReadinessITFTEs</vt:lpstr>
      <vt:lpstr>tlOutputGraphsLIntReadinessOpening</vt:lpstr>
      <vt:lpstr>tlOutputGraphsLIntReadinessSupplyChainFTEs</vt:lpstr>
      <vt:lpstr>tlOutputGraphsOnPremiseLicense</vt:lpstr>
      <vt:lpstr>tlOutputGraphsProd1Offering1Closing</vt:lpstr>
      <vt:lpstr>tlOutputGraphsProd1Offering1IndAvg</vt:lpstr>
      <vt:lpstr>tlOutputGraphsProd1Offering1Opening</vt:lpstr>
      <vt:lpstr>tlOutputGraphsProd1Offering2Closing</vt:lpstr>
      <vt:lpstr>tlOutputGraphsProd1Offering2IndAvg</vt:lpstr>
      <vt:lpstr>tlOutputGraphsProd1Offering2Opening</vt:lpstr>
      <vt:lpstr>tlOutputGraphsProd1Seg1DefRev</vt:lpstr>
      <vt:lpstr>tlOutputGraphsProd1Seg1NewRev</vt:lpstr>
      <vt:lpstr>tlOutputGraphsProd1Seg1OnPremRev</vt:lpstr>
      <vt:lpstr>tlOutputGraphsProd1Seg1RenewedRev</vt:lpstr>
      <vt:lpstr>tlOutputGraphsProd1Seg1ServicesRev</vt:lpstr>
      <vt:lpstr>tlOutputGraphsProd1Seg1TotalRev</vt:lpstr>
      <vt:lpstr>tlOutputGraphsProd1Seg2DefRev</vt:lpstr>
      <vt:lpstr>tlOutputGraphsProd1Seg2NewRev</vt:lpstr>
      <vt:lpstr>tlOutputGraphsProd1Seg2OnPremRev</vt:lpstr>
      <vt:lpstr>tlOutputGraphsProd1Seg2RenewedRev</vt:lpstr>
      <vt:lpstr>tlOutputGraphsProd1Seg2ServicesRev</vt:lpstr>
      <vt:lpstr>tlOutputGraphsProd1Seg2TotalRev</vt:lpstr>
      <vt:lpstr>tlOutputGraphsProd1Seg3DefRev</vt:lpstr>
      <vt:lpstr>tlOutputGraphsProd1Seg3NewRev</vt:lpstr>
      <vt:lpstr>tlOutputGraphsProd1Seg3OnPremRev</vt:lpstr>
      <vt:lpstr>tlOutputGraphsProd1Seg3RenewedRev</vt:lpstr>
      <vt:lpstr>tlOutputGraphsProd1Seg3TotalRev</vt:lpstr>
      <vt:lpstr>tlOutputGraphsProd2Offering1Closing</vt:lpstr>
      <vt:lpstr>tlOutputGraphsProd2Offering1IndAvg</vt:lpstr>
      <vt:lpstr>tlOutputGraphsProd2Offering1Opening</vt:lpstr>
      <vt:lpstr>tlOutputGraphsProd2Offering2Closing</vt:lpstr>
      <vt:lpstr>tlOutputGraphsProd2Offering2IndAvg</vt:lpstr>
      <vt:lpstr>tlOutputGraphsProd2Offering2Opening</vt:lpstr>
      <vt:lpstr>tlOutputGraphsProd2Seg1DefRev</vt:lpstr>
      <vt:lpstr>tlOutputGraphsProd2Seg1NewRev</vt:lpstr>
      <vt:lpstr>tlOutputGraphsProd2Seg1OnPremRev</vt:lpstr>
      <vt:lpstr>tlOutputGraphsProd2Seg1RenewedRev</vt:lpstr>
      <vt:lpstr>tlOutputGraphsProd2Seg1ServicesRev</vt:lpstr>
      <vt:lpstr>tlOutputGraphsProd2Seg1TotalRev</vt:lpstr>
      <vt:lpstr>tlOutputGraphsProd2Seg2DefRev</vt:lpstr>
      <vt:lpstr>tlOutputGraphsProd2Seg2NewRev</vt:lpstr>
      <vt:lpstr>tlOutputGraphsProd2Seg2OnPremRev</vt:lpstr>
      <vt:lpstr>tlOutputGraphsProd2Seg2RenewedRev</vt:lpstr>
      <vt:lpstr>tlOutputGraphsProd2Seg2ServicesRev</vt:lpstr>
      <vt:lpstr>tlOutputGraphsProd2Seg2TotalRev</vt:lpstr>
      <vt:lpstr>tlOutputGraphsProd3Offering1Closing</vt:lpstr>
      <vt:lpstr>tlOutputGraphsProd3Offering1IndAvg</vt:lpstr>
      <vt:lpstr>tlOutputGraphsProd3Offering1Opening</vt:lpstr>
      <vt:lpstr>tlOutputGraphsProd3Offering2Closing</vt:lpstr>
      <vt:lpstr>tlOutputGraphsProd3Offering2IndAvg</vt:lpstr>
      <vt:lpstr>tlOutputGraphsProd3Offering2Opening</vt:lpstr>
      <vt:lpstr>tlOutputGraphsProd3Seg1NewRev</vt:lpstr>
      <vt:lpstr>tlOutputGraphsProd3Seg1TotalRev</vt:lpstr>
      <vt:lpstr>tlOutputGraphsProd3Seg2NewRev</vt:lpstr>
      <vt:lpstr>tlOutputGraphsProd3Seg2TotalRev</vt:lpstr>
      <vt:lpstr>tlOutputGraphsProd3Seg3NewRev</vt:lpstr>
      <vt:lpstr>tlOutputGraphsProd3Seg3TotalRev</vt:lpstr>
      <vt:lpstr>tlOutputGraphsScalabilityClosing</vt:lpstr>
      <vt:lpstr>tlOutputGraphsScalabilityIndAvg</vt:lpstr>
      <vt:lpstr>tlOutputGraphsScalabilityOpening</vt:lpstr>
      <vt:lpstr>tlOutputGraphsSecurityClosing</vt:lpstr>
      <vt:lpstr>tlOutputGraphsSecurityIndAvg</vt:lpstr>
      <vt:lpstr>tlOutputGraphsSecurityOpening</vt:lpstr>
      <vt:lpstr>tlOutputInfoBu9tton1</vt:lpstr>
      <vt:lpstr>tlOutputInfoButton1</vt:lpstr>
      <vt:lpstr>tlOutputInfoButton10</vt:lpstr>
      <vt:lpstr>tlOutputInfoButton11</vt:lpstr>
      <vt:lpstr>tlOutputInfoButton12</vt:lpstr>
      <vt:lpstr>tlOutputInfoButton13</vt:lpstr>
      <vt:lpstr>tlOutputInfoButton14</vt:lpstr>
      <vt:lpstr>tlOutputInfoButton15</vt:lpstr>
      <vt:lpstr>tlOutputInfoButton16</vt:lpstr>
      <vt:lpstr>tlOutputInfoButton17</vt:lpstr>
      <vt:lpstr>tlOutputInfoButton18</vt:lpstr>
      <vt:lpstr>tlOutputInfoButton19</vt:lpstr>
      <vt:lpstr>tlOutputInfoButton2</vt:lpstr>
      <vt:lpstr>tlOutputInfoButton20</vt:lpstr>
      <vt:lpstr>tlOutputInfoButton21</vt:lpstr>
      <vt:lpstr>tlOutputInfoButton22</vt:lpstr>
      <vt:lpstr>tlOutputInfoButton23</vt:lpstr>
      <vt:lpstr>tlOutputInfoButton24</vt:lpstr>
      <vt:lpstr>tlOutputInfoButton25</vt:lpstr>
      <vt:lpstr>tlOutputInfoButton26</vt:lpstr>
      <vt:lpstr>tlOutputInfoButton27</vt:lpstr>
      <vt:lpstr>tlOutputInfoButton28</vt:lpstr>
      <vt:lpstr>tlOutputInfoButton29</vt:lpstr>
      <vt:lpstr>tlOutputInfoButton3</vt:lpstr>
      <vt:lpstr>tlOutputInfoButton30</vt:lpstr>
      <vt:lpstr>tlOutputInfoButton31</vt:lpstr>
      <vt:lpstr>tlOutputInfoButton32</vt:lpstr>
      <vt:lpstr>tlOutputInfoButton33</vt:lpstr>
      <vt:lpstr>tlOutputInfoButton34</vt:lpstr>
      <vt:lpstr>tlOutputInfoButton35</vt:lpstr>
      <vt:lpstr>tlOutputInfoButton36</vt:lpstr>
      <vt:lpstr>tlOutputInfoButton37</vt:lpstr>
      <vt:lpstr>tlOutputInfoButton38</vt:lpstr>
      <vt:lpstr>tlOutputInfoButton39</vt:lpstr>
      <vt:lpstr>tlOutputInfoButton4</vt:lpstr>
      <vt:lpstr>tlOutputInfoButton40</vt:lpstr>
      <vt:lpstr>tlOutputInfoButton5</vt:lpstr>
      <vt:lpstr>tlOutputInfoButton6</vt:lpstr>
      <vt:lpstr>tlOutputInfoButton7</vt:lpstr>
      <vt:lpstr>tlOutputInfoButton8</vt:lpstr>
      <vt:lpstr>tlOutputIntroLabelSimTitle</vt:lpstr>
      <vt:lpstr>tlOutputOpsCollabOpening</vt:lpstr>
      <vt:lpstr>tlOutputOpsCommercialMktgBudgetClosing</vt:lpstr>
      <vt:lpstr>tlOutputOpsCommercialMktgBudgetOpening</vt:lpstr>
      <vt:lpstr>tlOutputOpsCommercialProd1MktgBudgetClosing</vt:lpstr>
      <vt:lpstr>tlOutputOpsCommercialProd2MktgBudgetClosing</vt:lpstr>
      <vt:lpstr>tlOutputOpsCommercialProd2MktgBudgetOpening</vt:lpstr>
      <vt:lpstr>tlOutputOpsCommercialProd3MktgBudgetClosing</vt:lpstr>
      <vt:lpstr>tlOutputOpsCommercialProd3MktgBudgetOpening</vt:lpstr>
      <vt:lpstr>tlOutputOpsConsumerMktgBudgetClosing</vt:lpstr>
      <vt:lpstr>tlOutputOpsConsumerMktgBudgetOpening</vt:lpstr>
      <vt:lpstr>tlOutputOpsConsumerProd1MktgBudgetClosing</vt:lpstr>
      <vt:lpstr>tlOutputOpsConsumerProd1MktgBudgetOpening</vt:lpstr>
      <vt:lpstr>tlOutputOpsConsumerProd3MktgBudgetClosing</vt:lpstr>
      <vt:lpstr>tlOutputOpsConsumerProd3MktgBudgetOpening</vt:lpstr>
      <vt:lpstr>tlOutputOpsDashboard1</vt:lpstr>
      <vt:lpstr>tlOutputOpsDashboard2</vt:lpstr>
      <vt:lpstr>tlOutputOpsDashboard3</vt:lpstr>
      <vt:lpstr>tlOutputOpsDashboardAvgChurn</vt:lpstr>
      <vt:lpstr>tlOutputOpsDashboardAvgConsumption</vt:lpstr>
      <vt:lpstr>tlOutputOpsDashboardCloudAdopt</vt:lpstr>
      <vt:lpstr>tlOutputOpsDashboardCLV</vt:lpstr>
      <vt:lpstr>tlOutputOpsDashboardCPE</vt:lpstr>
      <vt:lpstr>tlOutputOpsDashboardFTEs</vt:lpstr>
      <vt:lpstr>tlOutputOpsDashboardGrossMargin</vt:lpstr>
      <vt:lpstr>tlOutputOpsDashboardGrossProfit</vt:lpstr>
      <vt:lpstr>tlOutputOpsDashboardOpMargin</vt:lpstr>
      <vt:lpstr>tlOutputOpsDashboardOpProfit</vt:lpstr>
      <vt:lpstr>tlOutputOpsDashboardRev</vt:lpstr>
      <vt:lpstr>tlOutputOpsDashboardRevGrowth</vt:lpstr>
      <vt:lpstr>tlOutputOpsDashboardWHI</vt:lpstr>
      <vt:lpstr>tlOutputOpsDataCenterClosing</vt:lpstr>
      <vt:lpstr>tlOutputOpsDataCenterCost</vt:lpstr>
      <vt:lpstr>tlOutputOpsDataCenterRecUtiliz</vt:lpstr>
      <vt:lpstr>tlOutputOpsGlobalDemandOpening</vt:lpstr>
      <vt:lpstr>tlOutputOpsITOpening</vt:lpstr>
      <vt:lpstr>tlOutputOpsLabelCustSuccess</vt:lpstr>
      <vt:lpstr>tlOutputOpsSupplyChainOpening</vt:lpstr>
      <vt:lpstr>tlOutputOpsTotalMarketingBudgetOpening</vt:lpstr>
      <vt:lpstr>tlOutputPNLGenAdminExp</vt:lpstr>
      <vt:lpstr>tlOutputPNLGenAdminPct</vt:lpstr>
      <vt:lpstr>tlOutputPNLLabelProd1</vt:lpstr>
      <vt:lpstr>tlOutputPNLLabelProd2</vt:lpstr>
      <vt:lpstr>tlOutputPNLLabelProd3</vt:lpstr>
      <vt:lpstr>tlOutputPNLProd1Seg1COGS</vt:lpstr>
      <vt:lpstr>tlOutputPNLProd1Seg1GrossProfit</vt:lpstr>
      <vt:lpstr>tlOutputPNLProd1Seg1Rev</vt:lpstr>
      <vt:lpstr>tlOutputPNLProd1Seg2COGS</vt:lpstr>
      <vt:lpstr>tlOutputPNLProd1Seg2GrossProfit</vt:lpstr>
      <vt:lpstr>tlOutputPNLProd1Seg2Rev</vt:lpstr>
      <vt:lpstr>tlOutputPNLProd1Seg3COGS</vt:lpstr>
      <vt:lpstr>tlOutputPNLProd1Seg3GrossProfit</vt:lpstr>
      <vt:lpstr>tlOutputPNLProd1Seg3Rev</vt:lpstr>
      <vt:lpstr>tlOutputPNLProd1TotalCOGS</vt:lpstr>
      <vt:lpstr>tlOutputPNLProd1TotalGrossMargin</vt:lpstr>
      <vt:lpstr>tlOutputPNLProd1TotalGrossProfit</vt:lpstr>
      <vt:lpstr>tlOutputPNLProd1TotalRev</vt:lpstr>
      <vt:lpstr>tlOutputPNLProd2Seg1COGS</vt:lpstr>
      <vt:lpstr>tlOutputPNLProd2Seg1GrossProfit</vt:lpstr>
      <vt:lpstr>tlOutputPNLProd2Seg1Rev</vt:lpstr>
      <vt:lpstr>tlOutputPNLProd2Seg2COGS</vt:lpstr>
      <vt:lpstr>tlOutputPNLProd2Seg2GrossProfit</vt:lpstr>
      <vt:lpstr>tlOutputPNLProd2Seg2Rev</vt:lpstr>
      <vt:lpstr>tlOutputPNLProd2TotalCOGS</vt:lpstr>
      <vt:lpstr>tlOutputPNLProd2TotalGrossMargin</vt:lpstr>
      <vt:lpstr>tlOutputPNLProd2TotalGrossProfit</vt:lpstr>
      <vt:lpstr>tlOutputPNLProd2TotalRev</vt:lpstr>
      <vt:lpstr>tlOutputPNLProd3Seg1COGS</vt:lpstr>
      <vt:lpstr>tlOutputPNLProd3Seg1GrossProfit</vt:lpstr>
      <vt:lpstr>tlOutputPNLProd3Seg1Rev</vt:lpstr>
      <vt:lpstr>tlOutputPNLProd3Seg2COGS</vt:lpstr>
      <vt:lpstr>tlOutputPNLProd3Seg2GrossProfit</vt:lpstr>
      <vt:lpstr>tlOutputPNLProd3Seg2Rev</vt:lpstr>
      <vt:lpstr>tlOutputPNLProd3Seg3COGS</vt:lpstr>
      <vt:lpstr>tlOutputPNLProd3Seg3GrossProfit</vt:lpstr>
      <vt:lpstr>tlOutputPNLProd3Seg3Rev</vt:lpstr>
      <vt:lpstr>tlOutputPNLProd3TotalCOGS</vt:lpstr>
      <vt:lpstr>tlOutputPNLProd3TotalGrossMargin</vt:lpstr>
      <vt:lpstr>tlOutputPNLProd3TotalGrossProfit</vt:lpstr>
      <vt:lpstr>tlOutputPNLProd3TotalRev</vt:lpstr>
      <vt:lpstr>tlOutputPNLSalesMktgPct</vt:lpstr>
      <vt:lpstr>tlOutputPNLSeg1TotalCOGS</vt:lpstr>
      <vt:lpstr>tlOutputPNLSeg1TotalGrossProfit</vt:lpstr>
      <vt:lpstr>tlOutputPNLSeg1TotalRev</vt:lpstr>
      <vt:lpstr>tlOutputPNLSeg2TotalCOGS</vt:lpstr>
      <vt:lpstr>tlOutputPNLSeg2TotalGrossProfit</vt:lpstr>
      <vt:lpstr>tlOutputPNLSeg2TotalRev</vt:lpstr>
      <vt:lpstr>tlOutputPNLSeg3TotalCOGS</vt:lpstr>
      <vt:lpstr>tlOutputPNLSeg3TotalGrossProfit</vt:lpstr>
      <vt:lpstr>tlOutputPNLSeg3TotalRev</vt:lpstr>
      <vt:lpstr>tlOutputPNLTotalCOGS</vt:lpstr>
      <vt:lpstr>tlOutputPNLTotalGrossMargin</vt:lpstr>
      <vt:lpstr>tlOutputPNLTotalGrossProfit</vt:lpstr>
      <vt:lpstr>tlOutputPNLTotalMiscExp</vt:lpstr>
      <vt:lpstr>tlOutputPNLTotalMktgExp</vt:lpstr>
      <vt:lpstr>tlOutputPNLTotalOpMargin</vt:lpstr>
      <vt:lpstr>tlOutputPNLTotalOpProfit</vt:lpstr>
      <vt:lpstr>tlOutputPNLTotalOpsExp</vt:lpstr>
      <vt:lpstr>tlOutputPNLTotalPartnerExp</vt:lpstr>
      <vt:lpstr>tlOutputPNLTotalPartnerSalaryExp</vt:lpstr>
      <vt:lpstr>tlOutputPNLTotalResource1Exp</vt:lpstr>
      <vt:lpstr>tlOutputPNLTotalResource2Exp</vt:lpstr>
      <vt:lpstr>tlOutputPNLTotalRev</vt:lpstr>
      <vt:lpstr>tlOutputPNLTotalSalesMktgExp</vt:lpstr>
      <vt:lpstr>tlOutputPNLTotalTalentExp</vt:lpstr>
      <vt:lpstr>tlOutputPNLTotalUnallocatedSalaryExp</vt:lpstr>
      <vt:lpstr>tlOutputWobbler301ConditionA</vt:lpstr>
      <vt:lpstr>tlOutputWobbler301ConditionB</vt:lpstr>
      <vt:lpstr>ToolSetupColumnsDelete</vt:lpstr>
      <vt:lpstr>ToolSetupColumnsDeleteSheets</vt:lpstr>
      <vt:lpstr>ToolSetupSheetsDelete</vt:lpstr>
      <vt:lpstr>vbaPopupMenu1ItemNumber</vt:lpstr>
      <vt:lpstr>vbaPopupMenu1ListFaceID</vt:lpstr>
      <vt:lpstr>vbaPopupMenu1ListLevel</vt:lpstr>
      <vt:lpstr>vbaPopupMenu1ListMacro</vt:lpstr>
      <vt:lpstr>vbaPopupMenu1ListTitle</vt:lpstr>
      <vt:lpstr>vbaPopupMenu1Lvl1ItemNumber</vt:lpstr>
      <vt:lpstr>vbaPopupMenu1Lvl2ItemNumber</vt:lpstr>
      <vt:lpstr>vbaPopupMenuActive</vt:lpstr>
      <vt:lpstr>vbaPopupMenuName</vt:lpstr>
      <vt:lpstr>VideoTutorial1</vt:lpstr>
      <vt:lpstr>VideoTutorial2</vt:lpstr>
      <vt:lpstr>VideoTutorial3</vt:lpstr>
      <vt:lpstr>VideoTutorial4</vt:lpstr>
      <vt:lpstr>VideoWobbler1</vt:lpstr>
      <vt:lpstr>WobblerCalcLaunchedRows</vt:lpstr>
      <vt:lpstr>WobblerCalcRound</vt:lpstr>
      <vt:lpstr>WobblerCalcRoundsIntoLaunchRows</vt:lpstr>
      <vt:lpstr>WobblerCalcTableLaunched</vt:lpstr>
      <vt:lpstr>WobblerCalcTableRoundsIntoLaunch</vt:lpstr>
      <vt:lpstr>WobblerVideoCurrent</vt:lpstr>
      <vt:lpstr>Workspace</vt:lpstr>
      <vt:lpstr>xxAudience</vt:lpstr>
      <vt:lpstr>xxDemoTool</vt:lpstr>
      <vt:lpstr>xxIndexTeam</vt:lpstr>
      <vt:lpstr>xxNumOfTeams</vt:lpstr>
      <vt:lpstr>xxObalTeam10</vt:lpstr>
      <vt:lpstr>xxObalTeam2</vt:lpstr>
      <vt:lpstr>xxObalTeam3</vt:lpstr>
      <vt:lpstr>xxObalTeam4</vt:lpstr>
      <vt:lpstr>xxObalTeam5</vt:lpstr>
      <vt:lpstr>xxObalTeam6</vt:lpstr>
      <vt:lpstr>xxObalTeam7</vt:lpstr>
      <vt:lpstr>xxObalTeam8</vt:lpstr>
      <vt:lpstr>xxObalTeam9</vt:lpstr>
      <vt:lpstr>xxPopupVideoWobbler</vt:lpstr>
      <vt:lpstr>xxPopupWobblerCond1Met</vt:lpstr>
      <vt:lpstr>xxPopupWobblerCond2Met</vt:lpstr>
      <vt:lpstr>xxPopupWobblerCond3Met</vt:lpstr>
      <vt:lpstr>xxPopupWobblerCond4Met</vt:lpstr>
      <vt:lpstr>xxPopupWobblerCondExp1Next</vt:lpstr>
      <vt:lpstr>xxPopupWobblerCondExp1Text</vt:lpstr>
      <vt:lpstr>xxPopupWobblerCondExp2Next</vt:lpstr>
      <vt:lpstr>xxPopupWobblerCondExp2Text</vt:lpstr>
      <vt:lpstr>xxPopupWobblerCondExp3Next</vt:lpstr>
      <vt:lpstr>xxPopupWobblerCondExp3Text</vt:lpstr>
      <vt:lpstr>xxPopupWobblerCondExp4Next</vt:lpstr>
      <vt:lpstr>xxPopupWobblerCondExp4Text</vt:lpstr>
      <vt:lpstr>xxPopUpWobblerConditional</vt:lpstr>
      <vt:lpstr>xxPopupWobblerCurrent</vt:lpstr>
      <vt:lpstr>xxPopupWobblerDecMinDiff</vt:lpstr>
      <vt:lpstr>xxPopupWobblerDecRange</vt:lpstr>
      <vt:lpstr>xxPopupWobblerDescription</vt:lpstr>
      <vt:lpstr>xxPopupWobblerExplain1Next</vt:lpstr>
      <vt:lpstr>xxPopupWobblerExplain1Text</vt:lpstr>
      <vt:lpstr>xxPopupWobblerExplain2Next</vt:lpstr>
      <vt:lpstr>xxPopupWobblerExplain2Text</vt:lpstr>
      <vt:lpstr>xxPopupWobblerExplain3Next</vt:lpstr>
      <vt:lpstr>xxPopupWobblerExplain3Text</vt:lpstr>
      <vt:lpstr>xxPopupWobblerExplain4Next</vt:lpstr>
      <vt:lpstr>xxPopupWobblerExplain4Text</vt:lpstr>
      <vt:lpstr>xxPopupWobblerMax</vt:lpstr>
      <vt:lpstr>xxPopupWobblerNumber</vt:lpstr>
      <vt:lpstr>xxPopupWobblerOption1Text</vt:lpstr>
      <vt:lpstr>xxPopupWobblerOption2Text</vt:lpstr>
      <vt:lpstr>xxPopupWobblerOption3Text</vt:lpstr>
      <vt:lpstr>xxPopupWobblerOption4Text</vt:lpstr>
      <vt:lpstr>xxPopupWobblerStartY1</vt:lpstr>
      <vt:lpstr>xxPopupWobblerStartY2</vt:lpstr>
      <vt:lpstr>xxPopupWobblerStartY3</vt:lpstr>
      <vt:lpstr>xxPopupWobblerStartY4</vt:lpstr>
      <vt:lpstr>xxPopupWobblerTitle</vt:lpstr>
      <vt:lpstr>xxPopupWobblerValid</vt:lpstr>
      <vt:lpstr>xxResetTeam</vt:lpstr>
      <vt:lpstr>xxRound</vt:lpstr>
      <vt:lpstr>xxSim0Tool1</vt:lpstr>
      <vt:lpstr>xxToolPrefix</vt:lpstr>
      <vt:lpstr>xxVideoWobblerRange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London IT</dc:creator>
  <cp:lastModifiedBy>Alison Meagher</cp:lastModifiedBy>
  <cp:lastPrinted>2017-07-20T22:06:03Z</cp:lastPrinted>
  <dcterms:created xsi:type="dcterms:W3CDTF">2014-12-08T07:15:00Z</dcterms:created>
  <dcterms:modified xsi:type="dcterms:W3CDTF">2017-08-24T19:06:24Z</dcterms:modified>
</cp:coreProperties>
</file>